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702665D-C3A0-4450-B720-F1943A4181F4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Detailed Report" sheetId="1" r:id="rId1"/>
    <sheet name="........... - Otlob" sheetId="2" r:id="rId2"/>
  </sheets>
  <definedNames>
    <definedName name="_xlnm._FilterDatabase" localSheetId="1" hidden="1">'........... - Otlob'!$A$7:$CT$988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9" i="2" l="1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8" i="2"/>
  <c r="AF8" i="2" l="1"/>
  <c r="C9" i="2" l="1"/>
  <c r="D9" i="2"/>
  <c r="E9" i="2"/>
  <c r="G9" i="2" s="1"/>
  <c r="H9" i="2"/>
  <c r="I9" i="2"/>
  <c r="J9" i="2"/>
  <c r="K9" i="2"/>
  <c r="L9" i="2"/>
  <c r="M9" i="2"/>
  <c r="N9" i="2"/>
  <c r="P9" i="2"/>
  <c r="Q9" i="2"/>
  <c r="R9" i="2"/>
  <c r="S9" i="2" s="1"/>
  <c r="C10" i="2"/>
  <c r="D10" i="2"/>
  <c r="E10" i="2"/>
  <c r="H10" i="2"/>
  <c r="I10" i="2"/>
  <c r="J10" i="2"/>
  <c r="K10" i="2"/>
  <c r="L10" i="2"/>
  <c r="M10" i="2"/>
  <c r="N10" i="2"/>
  <c r="P10" i="2"/>
  <c r="Q10" i="2"/>
  <c r="R10" i="2"/>
  <c r="S10" i="2" s="1"/>
  <c r="C11" i="2"/>
  <c r="D11" i="2"/>
  <c r="E11" i="2"/>
  <c r="F11" i="2" s="1"/>
  <c r="H11" i="2"/>
  <c r="I11" i="2"/>
  <c r="J11" i="2"/>
  <c r="K11" i="2"/>
  <c r="L11" i="2"/>
  <c r="M11" i="2" s="1"/>
  <c r="N11" i="2"/>
  <c r="P11" i="2"/>
  <c r="Q11" i="2"/>
  <c r="R11" i="2"/>
  <c r="S11" i="2" s="1"/>
  <c r="C12" i="2"/>
  <c r="D12" i="2"/>
  <c r="E12" i="2"/>
  <c r="H12" i="2"/>
  <c r="I12" i="2"/>
  <c r="J12" i="2"/>
  <c r="K12" i="2"/>
  <c r="L12" i="2"/>
  <c r="M12" i="2" s="1"/>
  <c r="N12" i="2"/>
  <c r="P12" i="2"/>
  <c r="Q12" i="2"/>
  <c r="R12" i="2"/>
  <c r="S12" i="2" s="1"/>
  <c r="C13" i="2"/>
  <c r="D13" i="2"/>
  <c r="E13" i="2"/>
  <c r="H13" i="2"/>
  <c r="I13" i="2"/>
  <c r="J13" i="2"/>
  <c r="K13" i="2"/>
  <c r="L13" i="2"/>
  <c r="M13" i="2" s="1"/>
  <c r="N13" i="2"/>
  <c r="P13" i="2"/>
  <c r="Q13" i="2"/>
  <c r="R13" i="2"/>
  <c r="S13" i="2" s="1"/>
  <c r="C14" i="2"/>
  <c r="D14" i="2"/>
  <c r="E14" i="2"/>
  <c r="H14" i="2"/>
  <c r="I14" i="2"/>
  <c r="J14" i="2"/>
  <c r="K14" i="2"/>
  <c r="L14" i="2"/>
  <c r="M14" i="2" s="1"/>
  <c r="N14" i="2"/>
  <c r="P14" i="2"/>
  <c r="Q14" i="2"/>
  <c r="R14" i="2"/>
  <c r="S14" i="2" s="1"/>
  <c r="C15" i="2"/>
  <c r="D15" i="2"/>
  <c r="E15" i="2"/>
  <c r="F15" i="2" s="1"/>
  <c r="H15" i="2"/>
  <c r="I15" i="2"/>
  <c r="J15" i="2"/>
  <c r="K15" i="2"/>
  <c r="L15" i="2"/>
  <c r="M15" i="2" s="1"/>
  <c r="N15" i="2"/>
  <c r="P15" i="2"/>
  <c r="Q15" i="2"/>
  <c r="R15" i="2"/>
  <c r="S15" i="2" s="1"/>
  <c r="C16" i="2"/>
  <c r="D16" i="2"/>
  <c r="E16" i="2"/>
  <c r="H16" i="2"/>
  <c r="I16" i="2"/>
  <c r="J16" i="2"/>
  <c r="K16" i="2"/>
  <c r="L16" i="2"/>
  <c r="M16" i="2" s="1"/>
  <c r="N16" i="2"/>
  <c r="P16" i="2"/>
  <c r="Q16" i="2"/>
  <c r="R16" i="2"/>
  <c r="S16" i="2"/>
  <c r="C17" i="2"/>
  <c r="D17" i="2"/>
  <c r="E17" i="2"/>
  <c r="F17" i="2" s="1"/>
  <c r="G17" i="2"/>
  <c r="H17" i="2"/>
  <c r="I17" i="2"/>
  <c r="J17" i="2"/>
  <c r="K17" i="2"/>
  <c r="L17" i="2"/>
  <c r="M17" i="2" s="1"/>
  <c r="N17" i="2"/>
  <c r="P17" i="2"/>
  <c r="Q17" i="2"/>
  <c r="R17" i="2"/>
  <c r="S17" i="2" s="1"/>
  <c r="C18" i="2"/>
  <c r="D18" i="2"/>
  <c r="E18" i="2"/>
  <c r="H18" i="2"/>
  <c r="I18" i="2"/>
  <c r="J18" i="2"/>
  <c r="K18" i="2"/>
  <c r="L18" i="2"/>
  <c r="M18" i="2" s="1"/>
  <c r="N18" i="2"/>
  <c r="P18" i="2"/>
  <c r="Q18" i="2"/>
  <c r="R18" i="2"/>
  <c r="S18" i="2" s="1"/>
  <c r="C19" i="2"/>
  <c r="D19" i="2"/>
  <c r="E19" i="2"/>
  <c r="F19" i="2" s="1"/>
  <c r="H19" i="2"/>
  <c r="I19" i="2"/>
  <c r="J19" i="2"/>
  <c r="K19" i="2"/>
  <c r="L19" i="2"/>
  <c r="M19" i="2" s="1"/>
  <c r="N19" i="2"/>
  <c r="P19" i="2"/>
  <c r="Q19" i="2"/>
  <c r="R19" i="2"/>
  <c r="S19" i="2" s="1"/>
  <c r="C20" i="2"/>
  <c r="D20" i="2"/>
  <c r="E20" i="2"/>
  <c r="F20" i="2" s="1"/>
  <c r="H20" i="2"/>
  <c r="I20" i="2"/>
  <c r="J20" i="2"/>
  <c r="K20" i="2"/>
  <c r="L20" i="2"/>
  <c r="M20" i="2" s="1"/>
  <c r="N20" i="2"/>
  <c r="P20" i="2"/>
  <c r="Q20" i="2"/>
  <c r="R20" i="2"/>
  <c r="S20" i="2" s="1"/>
  <c r="C21" i="2"/>
  <c r="D21" i="2"/>
  <c r="E21" i="2"/>
  <c r="H21" i="2"/>
  <c r="I21" i="2"/>
  <c r="J21" i="2"/>
  <c r="K21" i="2"/>
  <c r="L21" i="2"/>
  <c r="M21" i="2" s="1"/>
  <c r="N21" i="2"/>
  <c r="P21" i="2"/>
  <c r="Q21" i="2"/>
  <c r="R21" i="2"/>
  <c r="S21" i="2" s="1"/>
  <c r="C22" i="2"/>
  <c r="D22" i="2"/>
  <c r="E22" i="2"/>
  <c r="H22" i="2"/>
  <c r="I22" i="2"/>
  <c r="J22" i="2"/>
  <c r="K22" i="2"/>
  <c r="L22" i="2"/>
  <c r="M22" i="2" s="1"/>
  <c r="N22" i="2"/>
  <c r="P22" i="2"/>
  <c r="Q22" i="2"/>
  <c r="R22" i="2"/>
  <c r="S22" i="2" s="1"/>
  <c r="C23" i="2"/>
  <c r="D23" i="2"/>
  <c r="E23" i="2"/>
  <c r="F23" i="2" s="1"/>
  <c r="H23" i="2"/>
  <c r="I23" i="2"/>
  <c r="J23" i="2"/>
  <c r="K23" i="2"/>
  <c r="L23" i="2"/>
  <c r="M23" i="2" s="1"/>
  <c r="N23" i="2"/>
  <c r="P23" i="2"/>
  <c r="Q23" i="2"/>
  <c r="R23" i="2"/>
  <c r="S23" i="2" s="1"/>
  <c r="C24" i="2"/>
  <c r="D24" i="2"/>
  <c r="E24" i="2"/>
  <c r="F24" i="2" s="1"/>
  <c r="H24" i="2"/>
  <c r="I24" i="2"/>
  <c r="J24" i="2"/>
  <c r="K24" i="2"/>
  <c r="L24" i="2"/>
  <c r="M24" i="2" s="1"/>
  <c r="N24" i="2"/>
  <c r="P24" i="2"/>
  <c r="Q24" i="2"/>
  <c r="R24" i="2"/>
  <c r="S24" i="2" s="1"/>
  <c r="C25" i="2"/>
  <c r="D25" i="2"/>
  <c r="E25" i="2"/>
  <c r="F25" i="2" s="1"/>
  <c r="H25" i="2"/>
  <c r="I25" i="2"/>
  <c r="J25" i="2"/>
  <c r="K25" i="2"/>
  <c r="L25" i="2"/>
  <c r="M25" i="2" s="1"/>
  <c r="N25" i="2"/>
  <c r="P25" i="2"/>
  <c r="Q25" i="2"/>
  <c r="R25" i="2"/>
  <c r="S25" i="2" s="1"/>
  <c r="C26" i="2"/>
  <c r="D26" i="2"/>
  <c r="E26" i="2"/>
  <c r="H26" i="2"/>
  <c r="I26" i="2"/>
  <c r="J26" i="2"/>
  <c r="K26" i="2"/>
  <c r="L26" i="2"/>
  <c r="M26" i="2" s="1"/>
  <c r="N26" i="2"/>
  <c r="P26" i="2"/>
  <c r="Q26" i="2"/>
  <c r="R26" i="2"/>
  <c r="S26" i="2" s="1"/>
  <c r="C27" i="2"/>
  <c r="D27" i="2"/>
  <c r="E27" i="2"/>
  <c r="F27" i="2" s="1"/>
  <c r="H27" i="2"/>
  <c r="I27" i="2"/>
  <c r="J27" i="2"/>
  <c r="K27" i="2"/>
  <c r="L27" i="2"/>
  <c r="M27" i="2" s="1"/>
  <c r="N27" i="2"/>
  <c r="P27" i="2"/>
  <c r="Q27" i="2"/>
  <c r="R27" i="2"/>
  <c r="S27" i="2" s="1"/>
  <c r="C28" i="2"/>
  <c r="D28" i="2"/>
  <c r="E28" i="2"/>
  <c r="F28" i="2" s="1"/>
  <c r="H28" i="2"/>
  <c r="I28" i="2"/>
  <c r="J28" i="2"/>
  <c r="K28" i="2"/>
  <c r="L28" i="2"/>
  <c r="M28" i="2" s="1"/>
  <c r="N28" i="2"/>
  <c r="P28" i="2"/>
  <c r="Q28" i="2"/>
  <c r="R28" i="2"/>
  <c r="S28" i="2" s="1"/>
  <c r="C29" i="2"/>
  <c r="D29" i="2"/>
  <c r="E29" i="2"/>
  <c r="F29" i="2" s="1"/>
  <c r="G29" i="2"/>
  <c r="H29" i="2"/>
  <c r="I29" i="2"/>
  <c r="J29" i="2"/>
  <c r="K29" i="2"/>
  <c r="L29" i="2"/>
  <c r="M29" i="2" s="1"/>
  <c r="N29" i="2"/>
  <c r="P29" i="2"/>
  <c r="Q29" i="2"/>
  <c r="R29" i="2"/>
  <c r="S29" i="2" s="1"/>
  <c r="C30" i="2"/>
  <c r="D30" i="2"/>
  <c r="E30" i="2"/>
  <c r="H30" i="2"/>
  <c r="I30" i="2"/>
  <c r="J30" i="2"/>
  <c r="K30" i="2"/>
  <c r="L30" i="2"/>
  <c r="M30" i="2" s="1"/>
  <c r="N30" i="2"/>
  <c r="P30" i="2"/>
  <c r="Q30" i="2"/>
  <c r="R30" i="2"/>
  <c r="S30" i="2" s="1"/>
  <c r="C31" i="2"/>
  <c r="D31" i="2"/>
  <c r="E31" i="2"/>
  <c r="F31" i="2" s="1"/>
  <c r="H31" i="2"/>
  <c r="I31" i="2"/>
  <c r="J31" i="2"/>
  <c r="K31" i="2"/>
  <c r="L31" i="2"/>
  <c r="M31" i="2" s="1"/>
  <c r="N31" i="2"/>
  <c r="P31" i="2"/>
  <c r="Q31" i="2"/>
  <c r="R31" i="2"/>
  <c r="S31" i="2" s="1"/>
  <c r="C32" i="2"/>
  <c r="D32" i="2"/>
  <c r="E32" i="2"/>
  <c r="H32" i="2"/>
  <c r="I32" i="2"/>
  <c r="J32" i="2"/>
  <c r="K32" i="2"/>
  <c r="L32" i="2"/>
  <c r="M32" i="2" s="1"/>
  <c r="N32" i="2"/>
  <c r="P32" i="2"/>
  <c r="Q32" i="2"/>
  <c r="R32" i="2"/>
  <c r="S32" i="2" s="1"/>
  <c r="C33" i="2"/>
  <c r="D33" i="2"/>
  <c r="E33" i="2"/>
  <c r="F33" i="2" s="1"/>
  <c r="H33" i="2"/>
  <c r="I33" i="2"/>
  <c r="J33" i="2"/>
  <c r="K33" i="2"/>
  <c r="L33" i="2"/>
  <c r="M33" i="2" s="1"/>
  <c r="N33" i="2"/>
  <c r="P33" i="2"/>
  <c r="Q33" i="2"/>
  <c r="R33" i="2"/>
  <c r="S33" i="2" s="1"/>
  <c r="C34" i="2"/>
  <c r="D34" i="2"/>
  <c r="E34" i="2"/>
  <c r="H34" i="2"/>
  <c r="I34" i="2"/>
  <c r="J34" i="2"/>
  <c r="K34" i="2"/>
  <c r="L34" i="2"/>
  <c r="M34" i="2"/>
  <c r="N34" i="2"/>
  <c r="P34" i="2"/>
  <c r="Q34" i="2"/>
  <c r="R34" i="2"/>
  <c r="S34" i="2" s="1"/>
  <c r="C35" i="2"/>
  <c r="D35" i="2"/>
  <c r="E35" i="2"/>
  <c r="F35" i="2" s="1"/>
  <c r="H35" i="2"/>
  <c r="I35" i="2"/>
  <c r="J35" i="2"/>
  <c r="K35" i="2"/>
  <c r="L35" i="2"/>
  <c r="M35" i="2" s="1"/>
  <c r="N35" i="2"/>
  <c r="P35" i="2"/>
  <c r="Q35" i="2"/>
  <c r="R35" i="2"/>
  <c r="S35" i="2" s="1"/>
  <c r="C36" i="2"/>
  <c r="D36" i="2"/>
  <c r="E36" i="2"/>
  <c r="G36" i="2" s="1"/>
  <c r="O36" i="2" s="1"/>
  <c r="H36" i="2"/>
  <c r="I36" i="2"/>
  <c r="J36" i="2"/>
  <c r="K36" i="2"/>
  <c r="L36" i="2"/>
  <c r="M36" i="2" s="1"/>
  <c r="N36" i="2"/>
  <c r="P36" i="2"/>
  <c r="Q36" i="2"/>
  <c r="R36" i="2"/>
  <c r="S36" i="2"/>
  <c r="C37" i="2"/>
  <c r="D37" i="2"/>
  <c r="E37" i="2"/>
  <c r="G37" i="2" s="1"/>
  <c r="F37" i="2"/>
  <c r="H37" i="2"/>
  <c r="I37" i="2"/>
  <c r="J37" i="2"/>
  <c r="K37" i="2"/>
  <c r="L37" i="2"/>
  <c r="M37" i="2" s="1"/>
  <c r="N37" i="2"/>
  <c r="P37" i="2"/>
  <c r="Q37" i="2"/>
  <c r="R37" i="2"/>
  <c r="S37" i="2" s="1"/>
  <c r="C38" i="2"/>
  <c r="D38" i="2"/>
  <c r="E38" i="2"/>
  <c r="H38" i="2"/>
  <c r="I38" i="2"/>
  <c r="J38" i="2"/>
  <c r="K38" i="2"/>
  <c r="L38" i="2"/>
  <c r="M38" i="2" s="1"/>
  <c r="N38" i="2"/>
  <c r="P38" i="2"/>
  <c r="Q38" i="2"/>
  <c r="R38" i="2"/>
  <c r="S38" i="2" s="1"/>
  <c r="C39" i="2"/>
  <c r="D39" i="2"/>
  <c r="E39" i="2"/>
  <c r="F39" i="2" s="1"/>
  <c r="H39" i="2"/>
  <c r="I39" i="2"/>
  <c r="J39" i="2"/>
  <c r="K39" i="2"/>
  <c r="L39" i="2"/>
  <c r="M39" i="2" s="1"/>
  <c r="N39" i="2"/>
  <c r="P39" i="2"/>
  <c r="Q39" i="2"/>
  <c r="R39" i="2"/>
  <c r="S39" i="2" s="1"/>
  <c r="C40" i="2"/>
  <c r="D40" i="2"/>
  <c r="E40" i="2"/>
  <c r="H40" i="2"/>
  <c r="I40" i="2"/>
  <c r="J40" i="2"/>
  <c r="K40" i="2"/>
  <c r="L40" i="2"/>
  <c r="M40" i="2" s="1"/>
  <c r="N40" i="2"/>
  <c r="P40" i="2"/>
  <c r="Q40" i="2"/>
  <c r="R40" i="2"/>
  <c r="S40" i="2" s="1"/>
  <c r="C41" i="2"/>
  <c r="D41" i="2"/>
  <c r="E41" i="2"/>
  <c r="H41" i="2"/>
  <c r="I41" i="2"/>
  <c r="J41" i="2"/>
  <c r="K41" i="2"/>
  <c r="L41" i="2"/>
  <c r="M41" i="2"/>
  <c r="N41" i="2"/>
  <c r="P41" i="2"/>
  <c r="Q41" i="2"/>
  <c r="R41" i="2"/>
  <c r="S41" i="2" s="1"/>
  <c r="C42" i="2"/>
  <c r="D42" i="2"/>
  <c r="E42" i="2"/>
  <c r="H42" i="2"/>
  <c r="I42" i="2"/>
  <c r="J42" i="2"/>
  <c r="K42" i="2"/>
  <c r="L42" i="2"/>
  <c r="M42" i="2" s="1"/>
  <c r="N42" i="2"/>
  <c r="P42" i="2"/>
  <c r="Q42" i="2"/>
  <c r="R42" i="2"/>
  <c r="S42" i="2" s="1"/>
  <c r="C43" i="2"/>
  <c r="D43" i="2"/>
  <c r="E43" i="2"/>
  <c r="F43" i="2" s="1"/>
  <c r="H43" i="2"/>
  <c r="I43" i="2"/>
  <c r="J43" i="2"/>
  <c r="K43" i="2"/>
  <c r="L43" i="2"/>
  <c r="M43" i="2" s="1"/>
  <c r="N43" i="2"/>
  <c r="P43" i="2"/>
  <c r="Q43" i="2"/>
  <c r="R43" i="2"/>
  <c r="S43" i="2" s="1"/>
  <c r="C44" i="2"/>
  <c r="D44" i="2"/>
  <c r="E44" i="2"/>
  <c r="F44" i="2" s="1"/>
  <c r="H44" i="2"/>
  <c r="I44" i="2"/>
  <c r="J44" i="2"/>
  <c r="K44" i="2"/>
  <c r="L44" i="2"/>
  <c r="M44" i="2" s="1"/>
  <c r="N44" i="2"/>
  <c r="P44" i="2"/>
  <c r="Q44" i="2"/>
  <c r="R44" i="2"/>
  <c r="S44" i="2" s="1"/>
  <c r="C45" i="2"/>
  <c r="D45" i="2"/>
  <c r="E45" i="2"/>
  <c r="H45" i="2"/>
  <c r="I45" i="2"/>
  <c r="J45" i="2"/>
  <c r="K45" i="2"/>
  <c r="L45" i="2"/>
  <c r="M45" i="2" s="1"/>
  <c r="N45" i="2"/>
  <c r="P45" i="2"/>
  <c r="Q45" i="2"/>
  <c r="R45" i="2"/>
  <c r="S45" i="2" s="1"/>
  <c r="C46" i="2"/>
  <c r="D46" i="2"/>
  <c r="E46" i="2"/>
  <c r="H46" i="2"/>
  <c r="I46" i="2"/>
  <c r="J46" i="2"/>
  <c r="K46" i="2"/>
  <c r="L46" i="2"/>
  <c r="M46" i="2" s="1"/>
  <c r="N46" i="2"/>
  <c r="P46" i="2"/>
  <c r="Q46" i="2"/>
  <c r="R46" i="2"/>
  <c r="S46" i="2" s="1"/>
  <c r="C47" i="2"/>
  <c r="D47" i="2"/>
  <c r="E47" i="2"/>
  <c r="F47" i="2" s="1"/>
  <c r="H47" i="2"/>
  <c r="I47" i="2"/>
  <c r="J47" i="2"/>
  <c r="K47" i="2"/>
  <c r="L47" i="2"/>
  <c r="M47" i="2" s="1"/>
  <c r="N47" i="2"/>
  <c r="P47" i="2"/>
  <c r="Q47" i="2"/>
  <c r="R47" i="2"/>
  <c r="S47" i="2" s="1"/>
  <c r="C48" i="2"/>
  <c r="D48" i="2"/>
  <c r="E48" i="2"/>
  <c r="F48" i="2" s="1"/>
  <c r="H48" i="2"/>
  <c r="I48" i="2"/>
  <c r="J48" i="2"/>
  <c r="K48" i="2"/>
  <c r="L48" i="2"/>
  <c r="M48" i="2" s="1"/>
  <c r="N48" i="2"/>
  <c r="P48" i="2"/>
  <c r="Q48" i="2"/>
  <c r="R48" i="2"/>
  <c r="S48" i="2" s="1"/>
  <c r="C49" i="2"/>
  <c r="D49" i="2"/>
  <c r="E49" i="2"/>
  <c r="F49" i="2" s="1"/>
  <c r="G49" i="2"/>
  <c r="H49" i="2"/>
  <c r="I49" i="2"/>
  <c r="J49" i="2"/>
  <c r="K49" i="2"/>
  <c r="L49" i="2"/>
  <c r="M49" i="2" s="1"/>
  <c r="N49" i="2"/>
  <c r="P49" i="2"/>
  <c r="Q49" i="2"/>
  <c r="R49" i="2"/>
  <c r="S49" i="2" s="1"/>
  <c r="C50" i="2"/>
  <c r="D50" i="2"/>
  <c r="E50" i="2"/>
  <c r="H50" i="2"/>
  <c r="I50" i="2"/>
  <c r="J50" i="2"/>
  <c r="K50" i="2"/>
  <c r="L50" i="2"/>
  <c r="M50" i="2" s="1"/>
  <c r="N50" i="2"/>
  <c r="P50" i="2"/>
  <c r="Q50" i="2"/>
  <c r="R50" i="2"/>
  <c r="S50" i="2" s="1"/>
  <c r="C51" i="2"/>
  <c r="D51" i="2"/>
  <c r="E51" i="2"/>
  <c r="F51" i="2" s="1"/>
  <c r="H51" i="2"/>
  <c r="I51" i="2"/>
  <c r="J51" i="2"/>
  <c r="K51" i="2"/>
  <c r="L51" i="2"/>
  <c r="M51" i="2" s="1"/>
  <c r="N51" i="2"/>
  <c r="P51" i="2"/>
  <c r="Q51" i="2"/>
  <c r="R51" i="2"/>
  <c r="S51" i="2" s="1"/>
  <c r="C52" i="2"/>
  <c r="D52" i="2"/>
  <c r="E52" i="2"/>
  <c r="F52" i="2"/>
  <c r="G52" i="2"/>
  <c r="O52" i="2" s="1"/>
  <c r="H52" i="2"/>
  <c r="I52" i="2"/>
  <c r="J52" i="2"/>
  <c r="K52" i="2"/>
  <c r="L52" i="2"/>
  <c r="M52" i="2" s="1"/>
  <c r="N52" i="2"/>
  <c r="P52" i="2"/>
  <c r="Q52" i="2"/>
  <c r="R52" i="2"/>
  <c r="S52" i="2"/>
  <c r="C53" i="2"/>
  <c r="D53" i="2"/>
  <c r="E53" i="2"/>
  <c r="F53" i="2"/>
  <c r="G53" i="2"/>
  <c r="H53" i="2"/>
  <c r="I53" i="2"/>
  <c r="J53" i="2"/>
  <c r="K53" i="2"/>
  <c r="L53" i="2"/>
  <c r="M53" i="2" s="1"/>
  <c r="N53" i="2"/>
  <c r="P53" i="2"/>
  <c r="Q53" i="2"/>
  <c r="R53" i="2"/>
  <c r="S53" i="2" s="1"/>
  <c r="C54" i="2"/>
  <c r="D54" i="2"/>
  <c r="E54" i="2"/>
  <c r="H54" i="2"/>
  <c r="I54" i="2"/>
  <c r="J54" i="2"/>
  <c r="K54" i="2"/>
  <c r="L54" i="2"/>
  <c r="M54" i="2" s="1"/>
  <c r="N54" i="2"/>
  <c r="P54" i="2"/>
  <c r="Q54" i="2"/>
  <c r="R54" i="2"/>
  <c r="S54" i="2" s="1"/>
  <c r="C55" i="2"/>
  <c r="D55" i="2"/>
  <c r="E55" i="2"/>
  <c r="F55" i="2" s="1"/>
  <c r="H55" i="2"/>
  <c r="I55" i="2"/>
  <c r="J55" i="2"/>
  <c r="K55" i="2"/>
  <c r="L55" i="2"/>
  <c r="M55" i="2" s="1"/>
  <c r="N55" i="2"/>
  <c r="P55" i="2"/>
  <c r="Q55" i="2"/>
  <c r="R55" i="2"/>
  <c r="S55" i="2" s="1"/>
  <c r="C56" i="2"/>
  <c r="D56" i="2"/>
  <c r="E56" i="2"/>
  <c r="G56" i="2" s="1"/>
  <c r="O56" i="2" s="1"/>
  <c r="H56" i="2"/>
  <c r="I56" i="2"/>
  <c r="J56" i="2"/>
  <c r="K56" i="2"/>
  <c r="L56" i="2"/>
  <c r="M56" i="2" s="1"/>
  <c r="N56" i="2"/>
  <c r="P56" i="2"/>
  <c r="Q56" i="2"/>
  <c r="R56" i="2"/>
  <c r="S56" i="2"/>
  <c r="C57" i="2"/>
  <c r="D57" i="2"/>
  <c r="E57" i="2"/>
  <c r="G57" i="2" s="1"/>
  <c r="H57" i="2"/>
  <c r="I57" i="2"/>
  <c r="J57" i="2"/>
  <c r="K57" i="2"/>
  <c r="L57" i="2"/>
  <c r="M57" i="2" s="1"/>
  <c r="N57" i="2"/>
  <c r="P57" i="2"/>
  <c r="Q57" i="2"/>
  <c r="R57" i="2"/>
  <c r="S57" i="2" s="1"/>
  <c r="C58" i="2"/>
  <c r="D58" i="2"/>
  <c r="E58" i="2"/>
  <c r="H58" i="2"/>
  <c r="I58" i="2"/>
  <c r="J58" i="2"/>
  <c r="K58" i="2"/>
  <c r="L58" i="2"/>
  <c r="M58" i="2" s="1"/>
  <c r="N58" i="2"/>
  <c r="P58" i="2"/>
  <c r="Q58" i="2"/>
  <c r="R58" i="2"/>
  <c r="S58" i="2" s="1"/>
  <c r="C59" i="2"/>
  <c r="D59" i="2"/>
  <c r="E59" i="2"/>
  <c r="F59" i="2" s="1"/>
  <c r="H59" i="2"/>
  <c r="I59" i="2"/>
  <c r="J59" i="2"/>
  <c r="K59" i="2"/>
  <c r="L59" i="2"/>
  <c r="M59" i="2" s="1"/>
  <c r="N59" i="2"/>
  <c r="P59" i="2"/>
  <c r="Q59" i="2"/>
  <c r="R59" i="2"/>
  <c r="S59" i="2" s="1"/>
  <c r="C60" i="2"/>
  <c r="D60" i="2"/>
  <c r="E60" i="2"/>
  <c r="G60" i="2" s="1"/>
  <c r="O60" i="2" s="1"/>
  <c r="F60" i="2"/>
  <c r="H60" i="2"/>
  <c r="I60" i="2"/>
  <c r="J60" i="2"/>
  <c r="K60" i="2"/>
  <c r="L60" i="2"/>
  <c r="M60" i="2" s="1"/>
  <c r="N60" i="2"/>
  <c r="P60" i="2"/>
  <c r="Q60" i="2"/>
  <c r="R60" i="2"/>
  <c r="S60" i="2"/>
  <c r="C61" i="2"/>
  <c r="D61" i="2"/>
  <c r="E61" i="2"/>
  <c r="G61" i="2" s="1"/>
  <c r="F61" i="2"/>
  <c r="H61" i="2"/>
  <c r="I61" i="2"/>
  <c r="J61" i="2"/>
  <c r="K61" i="2"/>
  <c r="L61" i="2"/>
  <c r="M61" i="2" s="1"/>
  <c r="N61" i="2"/>
  <c r="P61" i="2"/>
  <c r="Q61" i="2"/>
  <c r="R61" i="2"/>
  <c r="S61" i="2" s="1"/>
  <c r="C62" i="2"/>
  <c r="D62" i="2"/>
  <c r="E62" i="2"/>
  <c r="H62" i="2"/>
  <c r="I62" i="2"/>
  <c r="J62" i="2"/>
  <c r="K62" i="2"/>
  <c r="L62" i="2"/>
  <c r="M62" i="2" s="1"/>
  <c r="N62" i="2"/>
  <c r="P62" i="2"/>
  <c r="Q62" i="2"/>
  <c r="R62" i="2"/>
  <c r="S62" i="2" s="1"/>
  <c r="C63" i="2"/>
  <c r="D63" i="2"/>
  <c r="E63" i="2"/>
  <c r="H63" i="2"/>
  <c r="I63" i="2"/>
  <c r="J63" i="2"/>
  <c r="K63" i="2"/>
  <c r="L63" i="2"/>
  <c r="M63" i="2" s="1"/>
  <c r="N63" i="2"/>
  <c r="P63" i="2"/>
  <c r="Q63" i="2"/>
  <c r="R63" i="2"/>
  <c r="S63" i="2" s="1"/>
  <c r="C64" i="2"/>
  <c r="D64" i="2"/>
  <c r="E64" i="2"/>
  <c r="G64" i="2" s="1"/>
  <c r="H64" i="2"/>
  <c r="I64" i="2"/>
  <c r="J64" i="2"/>
  <c r="K64" i="2"/>
  <c r="L64" i="2"/>
  <c r="M64" i="2" s="1"/>
  <c r="N64" i="2"/>
  <c r="P64" i="2"/>
  <c r="Q64" i="2"/>
  <c r="R64" i="2"/>
  <c r="S64" i="2" s="1"/>
  <c r="C65" i="2"/>
  <c r="D65" i="2"/>
  <c r="E65" i="2"/>
  <c r="H65" i="2"/>
  <c r="I65" i="2"/>
  <c r="J65" i="2"/>
  <c r="K65" i="2"/>
  <c r="L65" i="2"/>
  <c r="M65" i="2" s="1"/>
  <c r="N65" i="2"/>
  <c r="P65" i="2"/>
  <c r="Q65" i="2"/>
  <c r="R65" i="2"/>
  <c r="S65" i="2" s="1"/>
  <c r="C66" i="2"/>
  <c r="D66" i="2"/>
  <c r="E66" i="2"/>
  <c r="H66" i="2"/>
  <c r="I66" i="2"/>
  <c r="J66" i="2"/>
  <c r="K66" i="2"/>
  <c r="L66" i="2"/>
  <c r="M66" i="2"/>
  <c r="N66" i="2"/>
  <c r="P66" i="2"/>
  <c r="Q66" i="2"/>
  <c r="R66" i="2"/>
  <c r="S66" i="2" s="1"/>
  <c r="C67" i="2"/>
  <c r="D67" i="2"/>
  <c r="E67" i="2"/>
  <c r="H67" i="2"/>
  <c r="I67" i="2"/>
  <c r="J67" i="2"/>
  <c r="K67" i="2"/>
  <c r="L67" i="2"/>
  <c r="M67" i="2" s="1"/>
  <c r="N67" i="2"/>
  <c r="P67" i="2"/>
  <c r="Q67" i="2"/>
  <c r="R67" i="2"/>
  <c r="S67" i="2" s="1"/>
  <c r="C68" i="2"/>
  <c r="D68" i="2"/>
  <c r="E68" i="2"/>
  <c r="H68" i="2"/>
  <c r="I68" i="2"/>
  <c r="J68" i="2"/>
  <c r="K68" i="2"/>
  <c r="L68" i="2"/>
  <c r="M68" i="2" s="1"/>
  <c r="N68" i="2"/>
  <c r="P68" i="2"/>
  <c r="Q68" i="2"/>
  <c r="R68" i="2"/>
  <c r="S68" i="2"/>
  <c r="C69" i="2"/>
  <c r="D69" i="2"/>
  <c r="E69" i="2"/>
  <c r="H69" i="2"/>
  <c r="I69" i="2"/>
  <c r="J69" i="2"/>
  <c r="K69" i="2"/>
  <c r="L69" i="2"/>
  <c r="M69" i="2" s="1"/>
  <c r="N69" i="2"/>
  <c r="P69" i="2"/>
  <c r="Q69" i="2"/>
  <c r="R69" i="2"/>
  <c r="S69" i="2" s="1"/>
  <c r="C70" i="2"/>
  <c r="D70" i="2"/>
  <c r="E70" i="2"/>
  <c r="G70" i="2" s="1"/>
  <c r="H70" i="2"/>
  <c r="I70" i="2"/>
  <c r="J70" i="2"/>
  <c r="K70" i="2"/>
  <c r="L70" i="2"/>
  <c r="M70" i="2" s="1"/>
  <c r="N70" i="2"/>
  <c r="P70" i="2"/>
  <c r="Q70" i="2"/>
  <c r="R70" i="2"/>
  <c r="S70" i="2" s="1"/>
  <c r="C71" i="2"/>
  <c r="D71" i="2"/>
  <c r="E71" i="2"/>
  <c r="H71" i="2"/>
  <c r="I71" i="2"/>
  <c r="J71" i="2"/>
  <c r="K71" i="2"/>
  <c r="L71" i="2"/>
  <c r="M71" i="2" s="1"/>
  <c r="N71" i="2"/>
  <c r="P71" i="2"/>
  <c r="Q71" i="2"/>
  <c r="R71" i="2"/>
  <c r="S71" i="2" s="1"/>
  <c r="C72" i="2"/>
  <c r="D72" i="2"/>
  <c r="E72" i="2"/>
  <c r="H72" i="2"/>
  <c r="I72" i="2"/>
  <c r="J72" i="2"/>
  <c r="K72" i="2"/>
  <c r="L72" i="2"/>
  <c r="M72" i="2" s="1"/>
  <c r="N72" i="2"/>
  <c r="P72" i="2"/>
  <c r="Q72" i="2"/>
  <c r="R72" i="2"/>
  <c r="S72" i="2" s="1"/>
  <c r="C73" i="2"/>
  <c r="D73" i="2"/>
  <c r="E73" i="2"/>
  <c r="G73" i="2" s="1"/>
  <c r="H73" i="2"/>
  <c r="I73" i="2"/>
  <c r="J73" i="2"/>
  <c r="K73" i="2"/>
  <c r="L73" i="2"/>
  <c r="M73" i="2"/>
  <c r="N73" i="2"/>
  <c r="P73" i="2"/>
  <c r="Q73" i="2"/>
  <c r="R73" i="2"/>
  <c r="S73" i="2" s="1"/>
  <c r="C74" i="2"/>
  <c r="D74" i="2"/>
  <c r="E74" i="2"/>
  <c r="H74" i="2"/>
  <c r="I74" i="2"/>
  <c r="J74" i="2"/>
  <c r="K74" i="2"/>
  <c r="L74" i="2"/>
  <c r="M74" i="2"/>
  <c r="N74" i="2"/>
  <c r="P74" i="2"/>
  <c r="Q74" i="2"/>
  <c r="R74" i="2"/>
  <c r="S74" i="2" s="1"/>
  <c r="C75" i="2"/>
  <c r="D75" i="2"/>
  <c r="E75" i="2"/>
  <c r="H75" i="2"/>
  <c r="I75" i="2"/>
  <c r="J75" i="2"/>
  <c r="K75" i="2"/>
  <c r="L75" i="2"/>
  <c r="M75" i="2" s="1"/>
  <c r="N75" i="2"/>
  <c r="P75" i="2"/>
  <c r="Q75" i="2"/>
  <c r="R75" i="2"/>
  <c r="S75" i="2"/>
  <c r="C76" i="2"/>
  <c r="D76" i="2"/>
  <c r="E76" i="2"/>
  <c r="F76" i="2"/>
  <c r="G76" i="2"/>
  <c r="O76" i="2" s="1"/>
  <c r="H76" i="2"/>
  <c r="I76" i="2"/>
  <c r="J76" i="2"/>
  <c r="K76" i="2"/>
  <c r="L76" i="2"/>
  <c r="M76" i="2" s="1"/>
  <c r="N76" i="2"/>
  <c r="P76" i="2"/>
  <c r="Q76" i="2"/>
  <c r="R76" i="2"/>
  <c r="S76" i="2" s="1"/>
  <c r="C77" i="2"/>
  <c r="D77" i="2"/>
  <c r="E77" i="2"/>
  <c r="F77" i="2" s="1"/>
  <c r="G77" i="2"/>
  <c r="O77" i="2" s="1"/>
  <c r="H77" i="2"/>
  <c r="I77" i="2"/>
  <c r="J77" i="2"/>
  <c r="K77" i="2"/>
  <c r="L77" i="2"/>
  <c r="M77" i="2" s="1"/>
  <c r="N77" i="2"/>
  <c r="P77" i="2"/>
  <c r="Q77" i="2"/>
  <c r="R77" i="2"/>
  <c r="S77" i="2" s="1"/>
  <c r="C78" i="2"/>
  <c r="D78" i="2"/>
  <c r="E78" i="2"/>
  <c r="H78" i="2"/>
  <c r="I78" i="2"/>
  <c r="J78" i="2"/>
  <c r="K78" i="2"/>
  <c r="L78" i="2"/>
  <c r="M78" i="2" s="1"/>
  <c r="N78" i="2"/>
  <c r="P78" i="2"/>
  <c r="Q78" i="2"/>
  <c r="R78" i="2"/>
  <c r="S78" i="2" s="1"/>
  <c r="C79" i="2"/>
  <c r="D79" i="2"/>
  <c r="E79" i="2"/>
  <c r="H79" i="2"/>
  <c r="I79" i="2"/>
  <c r="J79" i="2"/>
  <c r="K79" i="2"/>
  <c r="L79" i="2"/>
  <c r="M79" i="2" s="1"/>
  <c r="N79" i="2"/>
  <c r="P79" i="2"/>
  <c r="Q79" i="2"/>
  <c r="R79" i="2"/>
  <c r="S79" i="2" s="1"/>
  <c r="C80" i="2"/>
  <c r="D80" i="2"/>
  <c r="E80" i="2"/>
  <c r="F80" i="2" s="1"/>
  <c r="H80" i="2"/>
  <c r="I80" i="2"/>
  <c r="J80" i="2"/>
  <c r="K80" i="2"/>
  <c r="L80" i="2"/>
  <c r="M80" i="2" s="1"/>
  <c r="N80" i="2"/>
  <c r="P80" i="2"/>
  <c r="Q80" i="2"/>
  <c r="R80" i="2"/>
  <c r="S80" i="2"/>
  <c r="C81" i="2"/>
  <c r="D81" i="2"/>
  <c r="E81" i="2"/>
  <c r="F81" i="2"/>
  <c r="G81" i="2"/>
  <c r="O81" i="2" s="1"/>
  <c r="H81" i="2"/>
  <c r="I81" i="2"/>
  <c r="J81" i="2"/>
  <c r="K81" i="2"/>
  <c r="L81" i="2"/>
  <c r="M81" i="2" s="1"/>
  <c r="N81" i="2"/>
  <c r="P81" i="2"/>
  <c r="Q81" i="2"/>
  <c r="R81" i="2"/>
  <c r="S81" i="2" s="1"/>
  <c r="C82" i="2"/>
  <c r="D82" i="2"/>
  <c r="E82" i="2"/>
  <c r="F82" i="2" s="1"/>
  <c r="H82" i="2"/>
  <c r="I82" i="2"/>
  <c r="J82" i="2"/>
  <c r="K82" i="2"/>
  <c r="L82" i="2"/>
  <c r="M82" i="2" s="1"/>
  <c r="N82" i="2"/>
  <c r="P82" i="2"/>
  <c r="Q82" i="2"/>
  <c r="R82" i="2"/>
  <c r="S82" i="2" s="1"/>
  <c r="C83" i="2"/>
  <c r="D83" i="2"/>
  <c r="E83" i="2"/>
  <c r="H83" i="2"/>
  <c r="I83" i="2"/>
  <c r="J83" i="2"/>
  <c r="K83" i="2"/>
  <c r="L83" i="2"/>
  <c r="M83" i="2" s="1"/>
  <c r="N83" i="2"/>
  <c r="P83" i="2"/>
  <c r="Q83" i="2"/>
  <c r="R83" i="2"/>
  <c r="S83" i="2" s="1"/>
  <c r="C84" i="2"/>
  <c r="D84" i="2"/>
  <c r="E84" i="2"/>
  <c r="F84" i="2" s="1"/>
  <c r="H84" i="2"/>
  <c r="I84" i="2"/>
  <c r="J84" i="2"/>
  <c r="K84" i="2"/>
  <c r="L84" i="2"/>
  <c r="M84" i="2" s="1"/>
  <c r="N84" i="2"/>
  <c r="P84" i="2"/>
  <c r="Q84" i="2"/>
  <c r="R84" i="2"/>
  <c r="S84" i="2"/>
  <c r="C85" i="2"/>
  <c r="D85" i="2"/>
  <c r="E85" i="2"/>
  <c r="G85" i="2" s="1"/>
  <c r="O85" i="2" s="1"/>
  <c r="F85" i="2"/>
  <c r="H85" i="2"/>
  <c r="I85" i="2"/>
  <c r="J85" i="2"/>
  <c r="K85" i="2"/>
  <c r="L85" i="2"/>
  <c r="M85" i="2" s="1"/>
  <c r="N85" i="2"/>
  <c r="P85" i="2"/>
  <c r="Q85" i="2"/>
  <c r="R85" i="2"/>
  <c r="S85" i="2"/>
  <c r="C86" i="2"/>
  <c r="D86" i="2"/>
  <c r="E86" i="2"/>
  <c r="F86" i="2"/>
  <c r="G86" i="2"/>
  <c r="H86" i="2"/>
  <c r="I86" i="2"/>
  <c r="J86" i="2"/>
  <c r="K86" i="2"/>
  <c r="L86" i="2"/>
  <c r="M86" i="2" s="1"/>
  <c r="N86" i="2"/>
  <c r="P86" i="2"/>
  <c r="Q86" i="2"/>
  <c r="R86" i="2"/>
  <c r="S86" i="2" s="1"/>
  <c r="C87" i="2"/>
  <c r="D87" i="2"/>
  <c r="E87" i="2"/>
  <c r="H87" i="2"/>
  <c r="I87" i="2"/>
  <c r="J87" i="2"/>
  <c r="K87" i="2"/>
  <c r="L87" i="2"/>
  <c r="M87" i="2"/>
  <c r="N87" i="2"/>
  <c r="P87" i="2"/>
  <c r="Q87" i="2"/>
  <c r="R87" i="2"/>
  <c r="S87" i="2" s="1"/>
  <c r="C88" i="2"/>
  <c r="D88" i="2"/>
  <c r="E88" i="2"/>
  <c r="F88" i="2" s="1"/>
  <c r="H88" i="2"/>
  <c r="I88" i="2"/>
  <c r="J88" i="2"/>
  <c r="K88" i="2"/>
  <c r="L88" i="2"/>
  <c r="M88" i="2" s="1"/>
  <c r="N88" i="2"/>
  <c r="P88" i="2"/>
  <c r="Q88" i="2"/>
  <c r="R88" i="2"/>
  <c r="S88" i="2"/>
  <c r="C89" i="2"/>
  <c r="D89" i="2"/>
  <c r="E89" i="2"/>
  <c r="G89" i="2" s="1"/>
  <c r="F89" i="2"/>
  <c r="H89" i="2"/>
  <c r="I89" i="2"/>
  <c r="J89" i="2"/>
  <c r="K89" i="2"/>
  <c r="L89" i="2"/>
  <c r="M89" i="2" s="1"/>
  <c r="N89" i="2"/>
  <c r="P89" i="2"/>
  <c r="Q89" i="2"/>
  <c r="R89" i="2"/>
  <c r="S89" i="2" s="1"/>
  <c r="C90" i="2"/>
  <c r="D90" i="2"/>
  <c r="E90" i="2"/>
  <c r="F90" i="2" s="1"/>
  <c r="H90" i="2"/>
  <c r="I90" i="2"/>
  <c r="J90" i="2"/>
  <c r="K90" i="2"/>
  <c r="L90" i="2"/>
  <c r="M90" i="2"/>
  <c r="N90" i="2"/>
  <c r="P90" i="2"/>
  <c r="Q90" i="2"/>
  <c r="R90" i="2"/>
  <c r="S90" i="2" s="1"/>
  <c r="C91" i="2"/>
  <c r="D91" i="2"/>
  <c r="E91" i="2"/>
  <c r="H91" i="2"/>
  <c r="I91" i="2"/>
  <c r="J91" i="2"/>
  <c r="K91" i="2"/>
  <c r="L91" i="2"/>
  <c r="M91" i="2" s="1"/>
  <c r="N91" i="2"/>
  <c r="P91" i="2"/>
  <c r="Q91" i="2"/>
  <c r="R91" i="2"/>
  <c r="S91" i="2" s="1"/>
  <c r="C92" i="2"/>
  <c r="D92" i="2"/>
  <c r="E92" i="2"/>
  <c r="F92" i="2" s="1"/>
  <c r="H92" i="2"/>
  <c r="I92" i="2"/>
  <c r="J92" i="2"/>
  <c r="K92" i="2"/>
  <c r="L92" i="2"/>
  <c r="M92" i="2" s="1"/>
  <c r="N92" i="2"/>
  <c r="P92" i="2"/>
  <c r="Q92" i="2"/>
  <c r="R92" i="2"/>
  <c r="S92" i="2" s="1"/>
  <c r="C93" i="2"/>
  <c r="D93" i="2"/>
  <c r="E93" i="2"/>
  <c r="G93" i="2" s="1"/>
  <c r="H93" i="2"/>
  <c r="I93" i="2"/>
  <c r="J93" i="2"/>
  <c r="K93" i="2"/>
  <c r="L93" i="2"/>
  <c r="M93" i="2" s="1"/>
  <c r="N93" i="2"/>
  <c r="P93" i="2"/>
  <c r="Q93" i="2"/>
  <c r="R93" i="2"/>
  <c r="S93" i="2" s="1"/>
  <c r="C94" i="2"/>
  <c r="D94" i="2"/>
  <c r="E94" i="2"/>
  <c r="H94" i="2"/>
  <c r="I94" i="2"/>
  <c r="J94" i="2"/>
  <c r="K94" i="2"/>
  <c r="L94" i="2"/>
  <c r="M94" i="2" s="1"/>
  <c r="N94" i="2"/>
  <c r="P94" i="2"/>
  <c r="Q94" i="2"/>
  <c r="R94" i="2"/>
  <c r="S94" i="2" s="1"/>
  <c r="C95" i="2"/>
  <c r="D95" i="2"/>
  <c r="E95" i="2"/>
  <c r="H95" i="2"/>
  <c r="I95" i="2"/>
  <c r="J95" i="2"/>
  <c r="K95" i="2"/>
  <c r="L95" i="2"/>
  <c r="M95" i="2" s="1"/>
  <c r="N95" i="2"/>
  <c r="P95" i="2"/>
  <c r="Q95" i="2"/>
  <c r="R95" i="2"/>
  <c r="S95" i="2" s="1"/>
  <c r="C96" i="2"/>
  <c r="D96" i="2"/>
  <c r="E96" i="2"/>
  <c r="F96" i="2" s="1"/>
  <c r="H96" i="2"/>
  <c r="I96" i="2"/>
  <c r="J96" i="2"/>
  <c r="K96" i="2"/>
  <c r="L96" i="2"/>
  <c r="M96" i="2" s="1"/>
  <c r="N96" i="2"/>
  <c r="P96" i="2"/>
  <c r="Q96" i="2"/>
  <c r="R96" i="2"/>
  <c r="S96" i="2" s="1"/>
  <c r="C97" i="2"/>
  <c r="D97" i="2"/>
  <c r="E97" i="2"/>
  <c r="H97" i="2"/>
  <c r="I97" i="2"/>
  <c r="J97" i="2"/>
  <c r="K97" i="2"/>
  <c r="L97" i="2"/>
  <c r="M97" i="2" s="1"/>
  <c r="N97" i="2"/>
  <c r="P97" i="2"/>
  <c r="Q97" i="2"/>
  <c r="R97" i="2"/>
  <c r="S97" i="2" s="1"/>
  <c r="C98" i="2"/>
  <c r="D98" i="2"/>
  <c r="E98" i="2"/>
  <c r="H98" i="2"/>
  <c r="I98" i="2"/>
  <c r="J98" i="2"/>
  <c r="K98" i="2"/>
  <c r="L98" i="2"/>
  <c r="M98" i="2" s="1"/>
  <c r="N98" i="2"/>
  <c r="P98" i="2"/>
  <c r="Q98" i="2"/>
  <c r="R98" i="2"/>
  <c r="S98" i="2" s="1"/>
  <c r="C99" i="2"/>
  <c r="D99" i="2"/>
  <c r="E99" i="2"/>
  <c r="H99" i="2"/>
  <c r="I99" i="2"/>
  <c r="J99" i="2"/>
  <c r="K99" i="2"/>
  <c r="L99" i="2"/>
  <c r="M99" i="2"/>
  <c r="N99" i="2"/>
  <c r="P99" i="2"/>
  <c r="Q99" i="2"/>
  <c r="R99" i="2"/>
  <c r="S99" i="2" s="1"/>
  <c r="C100" i="2"/>
  <c r="D100" i="2"/>
  <c r="E100" i="2"/>
  <c r="F100" i="2" s="1"/>
  <c r="H100" i="2"/>
  <c r="I100" i="2"/>
  <c r="J100" i="2"/>
  <c r="K100" i="2"/>
  <c r="L100" i="2"/>
  <c r="M100" i="2" s="1"/>
  <c r="N100" i="2"/>
  <c r="P100" i="2"/>
  <c r="Q100" i="2"/>
  <c r="R100" i="2"/>
  <c r="S100" i="2" s="1"/>
  <c r="C101" i="2"/>
  <c r="D101" i="2"/>
  <c r="E101" i="2"/>
  <c r="H101" i="2"/>
  <c r="I101" i="2"/>
  <c r="J101" i="2"/>
  <c r="K101" i="2"/>
  <c r="L101" i="2"/>
  <c r="M101" i="2" s="1"/>
  <c r="N101" i="2"/>
  <c r="P101" i="2"/>
  <c r="Q101" i="2"/>
  <c r="R101" i="2"/>
  <c r="S101" i="2" s="1"/>
  <c r="C102" i="2"/>
  <c r="D102" i="2"/>
  <c r="E102" i="2"/>
  <c r="H102" i="2"/>
  <c r="I102" i="2"/>
  <c r="J102" i="2"/>
  <c r="K102" i="2"/>
  <c r="L102" i="2"/>
  <c r="M102" i="2" s="1"/>
  <c r="N102" i="2"/>
  <c r="P102" i="2"/>
  <c r="Q102" i="2"/>
  <c r="R102" i="2"/>
  <c r="S102" i="2" s="1"/>
  <c r="C103" i="2"/>
  <c r="D103" i="2"/>
  <c r="E103" i="2"/>
  <c r="H103" i="2"/>
  <c r="I103" i="2"/>
  <c r="J103" i="2"/>
  <c r="K103" i="2"/>
  <c r="L103" i="2"/>
  <c r="M103" i="2" s="1"/>
  <c r="N103" i="2"/>
  <c r="P103" i="2"/>
  <c r="Q103" i="2"/>
  <c r="R103" i="2"/>
  <c r="S103" i="2" s="1"/>
  <c r="C104" i="2"/>
  <c r="D104" i="2"/>
  <c r="E104" i="2"/>
  <c r="F104" i="2" s="1"/>
  <c r="H104" i="2"/>
  <c r="I104" i="2"/>
  <c r="J104" i="2"/>
  <c r="K104" i="2"/>
  <c r="L104" i="2"/>
  <c r="M104" i="2" s="1"/>
  <c r="N104" i="2"/>
  <c r="P104" i="2"/>
  <c r="Q104" i="2"/>
  <c r="R104" i="2"/>
  <c r="S104" i="2" s="1"/>
  <c r="C105" i="2"/>
  <c r="D105" i="2"/>
  <c r="E105" i="2"/>
  <c r="F105" i="2" s="1"/>
  <c r="G105" i="2"/>
  <c r="O105" i="2" s="1"/>
  <c r="H105" i="2"/>
  <c r="I105" i="2"/>
  <c r="J105" i="2"/>
  <c r="K105" i="2"/>
  <c r="L105" i="2"/>
  <c r="M105" i="2" s="1"/>
  <c r="N105" i="2"/>
  <c r="P105" i="2"/>
  <c r="Q105" i="2"/>
  <c r="R105" i="2"/>
  <c r="S105" i="2" s="1"/>
  <c r="C106" i="2"/>
  <c r="D106" i="2"/>
  <c r="E106" i="2"/>
  <c r="H106" i="2"/>
  <c r="I106" i="2"/>
  <c r="J106" i="2"/>
  <c r="K106" i="2"/>
  <c r="L106" i="2"/>
  <c r="M106" i="2"/>
  <c r="N106" i="2"/>
  <c r="P106" i="2"/>
  <c r="Q106" i="2"/>
  <c r="R106" i="2"/>
  <c r="S106" i="2" s="1"/>
  <c r="C107" i="2"/>
  <c r="D107" i="2"/>
  <c r="E107" i="2"/>
  <c r="H107" i="2"/>
  <c r="I107" i="2"/>
  <c r="J107" i="2"/>
  <c r="K107" i="2"/>
  <c r="L107" i="2"/>
  <c r="M107" i="2" s="1"/>
  <c r="N107" i="2"/>
  <c r="P107" i="2"/>
  <c r="Q107" i="2"/>
  <c r="R107" i="2"/>
  <c r="S107" i="2" s="1"/>
  <c r="C108" i="2"/>
  <c r="D108" i="2"/>
  <c r="E108" i="2"/>
  <c r="F108" i="2" s="1"/>
  <c r="H108" i="2"/>
  <c r="I108" i="2"/>
  <c r="J108" i="2"/>
  <c r="K108" i="2"/>
  <c r="L108" i="2"/>
  <c r="M108" i="2" s="1"/>
  <c r="N108" i="2"/>
  <c r="P108" i="2"/>
  <c r="Q108" i="2"/>
  <c r="R108" i="2"/>
  <c r="S108" i="2" s="1"/>
  <c r="C109" i="2"/>
  <c r="D109" i="2"/>
  <c r="E109" i="2"/>
  <c r="F109" i="2" s="1"/>
  <c r="H109" i="2"/>
  <c r="I109" i="2"/>
  <c r="J109" i="2"/>
  <c r="K109" i="2"/>
  <c r="L109" i="2"/>
  <c r="M109" i="2" s="1"/>
  <c r="N109" i="2"/>
  <c r="P109" i="2"/>
  <c r="Q109" i="2"/>
  <c r="R109" i="2"/>
  <c r="S109" i="2" s="1"/>
  <c r="C110" i="2"/>
  <c r="D110" i="2"/>
  <c r="E110" i="2"/>
  <c r="F110" i="2" s="1"/>
  <c r="H110" i="2"/>
  <c r="I110" i="2"/>
  <c r="J110" i="2"/>
  <c r="K110" i="2"/>
  <c r="L110" i="2"/>
  <c r="M110" i="2" s="1"/>
  <c r="N110" i="2"/>
  <c r="P110" i="2"/>
  <c r="Q110" i="2"/>
  <c r="R110" i="2"/>
  <c r="S110" i="2" s="1"/>
  <c r="C111" i="2"/>
  <c r="D111" i="2"/>
  <c r="E111" i="2"/>
  <c r="H111" i="2"/>
  <c r="I111" i="2"/>
  <c r="J111" i="2"/>
  <c r="K111" i="2"/>
  <c r="L111" i="2"/>
  <c r="M111" i="2" s="1"/>
  <c r="N111" i="2"/>
  <c r="P111" i="2"/>
  <c r="Q111" i="2"/>
  <c r="R111" i="2"/>
  <c r="S111" i="2" s="1"/>
  <c r="C112" i="2"/>
  <c r="D112" i="2"/>
  <c r="E112" i="2"/>
  <c r="F112" i="2" s="1"/>
  <c r="H112" i="2"/>
  <c r="I112" i="2"/>
  <c r="J112" i="2"/>
  <c r="K112" i="2"/>
  <c r="L112" i="2"/>
  <c r="M112" i="2" s="1"/>
  <c r="N112" i="2"/>
  <c r="P112" i="2"/>
  <c r="Q112" i="2"/>
  <c r="R112" i="2"/>
  <c r="S112" i="2" s="1"/>
  <c r="C113" i="2"/>
  <c r="D113" i="2"/>
  <c r="E113" i="2"/>
  <c r="F113" i="2" s="1"/>
  <c r="G113" i="2"/>
  <c r="H113" i="2"/>
  <c r="I113" i="2"/>
  <c r="J113" i="2"/>
  <c r="K113" i="2"/>
  <c r="L113" i="2"/>
  <c r="M113" i="2" s="1"/>
  <c r="N113" i="2"/>
  <c r="P113" i="2"/>
  <c r="Q113" i="2"/>
  <c r="R113" i="2"/>
  <c r="S113" i="2" s="1"/>
  <c r="C114" i="2"/>
  <c r="D114" i="2"/>
  <c r="E114" i="2"/>
  <c r="F114" i="2" s="1"/>
  <c r="G114" i="2"/>
  <c r="H114" i="2"/>
  <c r="I114" i="2"/>
  <c r="J114" i="2"/>
  <c r="K114" i="2"/>
  <c r="L114" i="2"/>
  <c r="M114" i="2" s="1"/>
  <c r="N114" i="2"/>
  <c r="P114" i="2"/>
  <c r="Q114" i="2"/>
  <c r="R114" i="2"/>
  <c r="S114" i="2" s="1"/>
  <c r="C115" i="2"/>
  <c r="D115" i="2"/>
  <c r="E115" i="2"/>
  <c r="H115" i="2"/>
  <c r="I115" i="2"/>
  <c r="J115" i="2"/>
  <c r="K115" i="2"/>
  <c r="L115" i="2"/>
  <c r="M115" i="2" s="1"/>
  <c r="N115" i="2"/>
  <c r="P115" i="2"/>
  <c r="Q115" i="2"/>
  <c r="R115" i="2"/>
  <c r="S115" i="2" s="1"/>
  <c r="C116" i="2"/>
  <c r="D116" i="2"/>
  <c r="E116" i="2"/>
  <c r="F116" i="2" s="1"/>
  <c r="H116" i="2"/>
  <c r="I116" i="2"/>
  <c r="J116" i="2"/>
  <c r="K116" i="2"/>
  <c r="L116" i="2"/>
  <c r="M116" i="2" s="1"/>
  <c r="N116" i="2"/>
  <c r="P116" i="2"/>
  <c r="Q116" i="2"/>
  <c r="R116" i="2"/>
  <c r="S116" i="2" s="1"/>
  <c r="C117" i="2"/>
  <c r="D117" i="2"/>
  <c r="E117" i="2"/>
  <c r="F117" i="2"/>
  <c r="G117" i="2"/>
  <c r="H117" i="2"/>
  <c r="I117" i="2"/>
  <c r="J117" i="2"/>
  <c r="K117" i="2"/>
  <c r="L117" i="2"/>
  <c r="M117" i="2" s="1"/>
  <c r="N117" i="2"/>
  <c r="P117" i="2"/>
  <c r="Q117" i="2"/>
  <c r="R117" i="2"/>
  <c r="S117" i="2" s="1"/>
  <c r="C118" i="2"/>
  <c r="D118" i="2"/>
  <c r="E118" i="2"/>
  <c r="G118" i="2" s="1"/>
  <c r="F118" i="2"/>
  <c r="H118" i="2"/>
  <c r="I118" i="2"/>
  <c r="J118" i="2"/>
  <c r="K118" i="2"/>
  <c r="L118" i="2"/>
  <c r="M118" i="2" s="1"/>
  <c r="N118" i="2"/>
  <c r="P118" i="2"/>
  <c r="Q118" i="2"/>
  <c r="R118" i="2"/>
  <c r="S118" i="2" s="1"/>
  <c r="C119" i="2"/>
  <c r="D119" i="2"/>
  <c r="E119" i="2"/>
  <c r="H119" i="2"/>
  <c r="I119" i="2"/>
  <c r="J119" i="2"/>
  <c r="K119" i="2"/>
  <c r="L119" i="2"/>
  <c r="M119" i="2"/>
  <c r="N119" i="2"/>
  <c r="P119" i="2"/>
  <c r="Q119" i="2"/>
  <c r="R119" i="2"/>
  <c r="S119" i="2" s="1"/>
  <c r="C120" i="2"/>
  <c r="D120" i="2"/>
  <c r="E120" i="2"/>
  <c r="F120" i="2" s="1"/>
  <c r="H120" i="2"/>
  <c r="I120" i="2"/>
  <c r="J120" i="2"/>
  <c r="K120" i="2"/>
  <c r="L120" i="2"/>
  <c r="M120" i="2" s="1"/>
  <c r="N120" i="2"/>
  <c r="P120" i="2"/>
  <c r="Q120" i="2"/>
  <c r="R120" i="2"/>
  <c r="S120" i="2" s="1"/>
  <c r="C121" i="2"/>
  <c r="D121" i="2"/>
  <c r="E121" i="2"/>
  <c r="G121" i="2" s="1"/>
  <c r="H121" i="2"/>
  <c r="I121" i="2"/>
  <c r="J121" i="2"/>
  <c r="K121" i="2"/>
  <c r="L121" i="2"/>
  <c r="M121" i="2" s="1"/>
  <c r="N121" i="2"/>
  <c r="P121" i="2"/>
  <c r="Q121" i="2"/>
  <c r="R121" i="2"/>
  <c r="S121" i="2"/>
  <c r="C122" i="2"/>
  <c r="D122" i="2"/>
  <c r="E122" i="2"/>
  <c r="G122" i="2" s="1"/>
  <c r="F122" i="2"/>
  <c r="H122" i="2"/>
  <c r="I122" i="2"/>
  <c r="J122" i="2"/>
  <c r="K122" i="2"/>
  <c r="L122" i="2"/>
  <c r="M122" i="2"/>
  <c r="N122" i="2"/>
  <c r="P122" i="2"/>
  <c r="Q122" i="2"/>
  <c r="R122" i="2"/>
  <c r="S122" i="2" s="1"/>
  <c r="C123" i="2"/>
  <c r="D123" i="2"/>
  <c r="E123" i="2"/>
  <c r="H123" i="2"/>
  <c r="I123" i="2"/>
  <c r="J123" i="2"/>
  <c r="K123" i="2"/>
  <c r="L123" i="2"/>
  <c r="M123" i="2"/>
  <c r="N123" i="2"/>
  <c r="P123" i="2"/>
  <c r="Q123" i="2"/>
  <c r="R123" i="2"/>
  <c r="S123" i="2" s="1"/>
  <c r="C124" i="2"/>
  <c r="D124" i="2"/>
  <c r="E124" i="2"/>
  <c r="F124" i="2" s="1"/>
  <c r="H124" i="2"/>
  <c r="I124" i="2"/>
  <c r="J124" i="2"/>
  <c r="K124" i="2"/>
  <c r="L124" i="2"/>
  <c r="M124" i="2" s="1"/>
  <c r="N124" i="2"/>
  <c r="P124" i="2"/>
  <c r="Q124" i="2"/>
  <c r="R124" i="2"/>
  <c r="S124" i="2" s="1"/>
  <c r="C125" i="2"/>
  <c r="D125" i="2"/>
  <c r="E125" i="2"/>
  <c r="H125" i="2"/>
  <c r="I125" i="2"/>
  <c r="J125" i="2"/>
  <c r="K125" i="2"/>
  <c r="L125" i="2"/>
  <c r="M125" i="2" s="1"/>
  <c r="N125" i="2"/>
  <c r="P125" i="2"/>
  <c r="Q125" i="2"/>
  <c r="R125" i="2"/>
  <c r="S125" i="2" s="1"/>
  <c r="C126" i="2"/>
  <c r="D126" i="2"/>
  <c r="E126" i="2"/>
  <c r="H126" i="2"/>
  <c r="I126" i="2"/>
  <c r="J126" i="2"/>
  <c r="K126" i="2"/>
  <c r="L126" i="2"/>
  <c r="M126" i="2" s="1"/>
  <c r="N126" i="2"/>
  <c r="P126" i="2"/>
  <c r="Q126" i="2"/>
  <c r="R126" i="2"/>
  <c r="S126" i="2" s="1"/>
  <c r="C127" i="2"/>
  <c r="D127" i="2"/>
  <c r="E127" i="2"/>
  <c r="H127" i="2"/>
  <c r="I127" i="2"/>
  <c r="J127" i="2"/>
  <c r="K127" i="2"/>
  <c r="L127" i="2"/>
  <c r="M127" i="2" s="1"/>
  <c r="N127" i="2"/>
  <c r="P127" i="2"/>
  <c r="Q127" i="2"/>
  <c r="R127" i="2"/>
  <c r="S127" i="2" s="1"/>
  <c r="C128" i="2"/>
  <c r="D128" i="2"/>
  <c r="E128" i="2"/>
  <c r="F128" i="2" s="1"/>
  <c r="H128" i="2"/>
  <c r="I128" i="2"/>
  <c r="J128" i="2"/>
  <c r="K128" i="2"/>
  <c r="L128" i="2"/>
  <c r="M128" i="2" s="1"/>
  <c r="N128" i="2"/>
  <c r="P128" i="2"/>
  <c r="Q128" i="2"/>
  <c r="R128" i="2"/>
  <c r="S128" i="2" s="1"/>
  <c r="C129" i="2"/>
  <c r="D129" i="2"/>
  <c r="E129" i="2"/>
  <c r="H129" i="2"/>
  <c r="I129" i="2"/>
  <c r="J129" i="2"/>
  <c r="K129" i="2"/>
  <c r="L129" i="2"/>
  <c r="M129" i="2" s="1"/>
  <c r="N129" i="2"/>
  <c r="P129" i="2"/>
  <c r="Q129" i="2"/>
  <c r="R129" i="2"/>
  <c r="S129" i="2" s="1"/>
  <c r="C130" i="2"/>
  <c r="D130" i="2"/>
  <c r="E130" i="2"/>
  <c r="H130" i="2"/>
  <c r="I130" i="2"/>
  <c r="J130" i="2"/>
  <c r="K130" i="2"/>
  <c r="L130" i="2"/>
  <c r="M130" i="2" s="1"/>
  <c r="N130" i="2"/>
  <c r="P130" i="2"/>
  <c r="Q130" i="2"/>
  <c r="R130" i="2"/>
  <c r="S130" i="2" s="1"/>
  <c r="C131" i="2"/>
  <c r="D131" i="2"/>
  <c r="E131" i="2"/>
  <c r="H131" i="2"/>
  <c r="I131" i="2"/>
  <c r="J131" i="2"/>
  <c r="K131" i="2"/>
  <c r="L131" i="2"/>
  <c r="M131" i="2"/>
  <c r="N131" i="2"/>
  <c r="P131" i="2"/>
  <c r="Q131" i="2"/>
  <c r="R131" i="2"/>
  <c r="S131" i="2" s="1"/>
  <c r="C132" i="2"/>
  <c r="D132" i="2"/>
  <c r="E132" i="2"/>
  <c r="F132" i="2" s="1"/>
  <c r="H132" i="2"/>
  <c r="I132" i="2"/>
  <c r="J132" i="2"/>
  <c r="K132" i="2"/>
  <c r="L132" i="2"/>
  <c r="M132" i="2" s="1"/>
  <c r="N132" i="2"/>
  <c r="P132" i="2"/>
  <c r="Q132" i="2"/>
  <c r="R132" i="2"/>
  <c r="S132" i="2" s="1"/>
  <c r="C133" i="2"/>
  <c r="D133" i="2"/>
  <c r="E133" i="2"/>
  <c r="H133" i="2"/>
  <c r="I133" i="2"/>
  <c r="J133" i="2"/>
  <c r="K133" i="2"/>
  <c r="L133" i="2"/>
  <c r="M133" i="2" s="1"/>
  <c r="N133" i="2"/>
  <c r="P133" i="2"/>
  <c r="Q133" i="2"/>
  <c r="R133" i="2"/>
  <c r="S133" i="2" s="1"/>
  <c r="C134" i="2"/>
  <c r="D134" i="2"/>
  <c r="E134" i="2"/>
  <c r="H134" i="2"/>
  <c r="I134" i="2"/>
  <c r="J134" i="2"/>
  <c r="K134" i="2"/>
  <c r="L134" i="2"/>
  <c r="M134" i="2" s="1"/>
  <c r="N134" i="2"/>
  <c r="P134" i="2"/>
  <c r="Q134" i="2"/>
  <c r="R134" i="2"/>
  <c r="S134" i="2" s="1"/>
  <c r="C135" i="2"/>
  <c r="D135" i="2"/>
  <c r="E135" i="2"/>
  <c r="H135" i="2"/>
  <c r="I135" i="2"/>
  <c r="J135" i="2"/>
  <c r="K135" i="2"/>
  <c r="L135" i="2"/>
  <c r="M135" i="2" s="1"/>
  <c r="N135" i="2"/>
  <c r="P135" i="2"/>
  <c r="Q135" i="2"/>
  <c r="R135" i="2"/>
  <c r="S135" i="2" s="1"/>
  <c r="C136" i="2"/>
  <c r="D136" i="2"/>
  <c r="E136" i="2"/>
  <c r="F136" i="2" s="1"/>
  <c r="H136" i="2"/>
  <c r="I136" i="2"/>
  <c r="J136" i="2"/>
  <c r="K136" i="2"/>
  <c r="L136" i="2"/>
  <c r="M136" i="2" s="1"/>
  <c r="N136" i="2"/>
  <c r="P136" i="2"/>
  <c r="Q136" i="2"/>
  <c r="R136" i="2"/>
  <c r="S136" i="2" s="1"/>
  <c r="C137" i="2"/>
  <c r="D137" i="2"/>
  <c r="E137" i="2"/>
  <c r="F137" i="2" s="1"/>
  <c r="G137" i="2"/>
  <c r="O137" i="2" s="1"/>
  <c r="H137" i="2"/>
  <c r="I137" i="2"/>
  <c r="J137" i="2"/>
  <c r="K137" i="2"/>
  <c r="L137" i="2"/>
  <c r="M137" i="2" s="1"/>
  <c r="N137" i="2"/>
  <c r="P137" i="2"/>
  <c r="Q137" i="2"/>
  <c r="R137" i="2"/>
  <c r="S137" i="2" s="1"/>
  <c r="C138" i="2"/>
  <c r="D138" i="2"/>
  <c r="E138" i="2"/>
  <c r="H138" i="2"/>
  <c r="I138" i="2"/>
  <c r="J138" i="2"/>
  <c r="K138" i="2"/>
  <c r="L138" i="2"/>
  <c r="M138" i="2" s="1"/>
  <c r="N138" i="2"/>
  <c r="P138" i="2"/>
  <c r="Q138" i="2"/>
  <c r="R138" i="2"/>
  <c r="S138" i="2" s="1"/>
  <c r="C139" i="2"/>
  <c r="D139" i="2"/>
  <c r="E139" i="2"/>
  <c r="H139" i="2"/>
  <c r="I139" i="2"/>
  <c r="J139" i="2"/>
  <c r="K139" i="2"/>
  <c r="L139" i="2"/>
  <c r="M139" i="2" s="1"/>
  <c r="N139" i="2"/>
  <c r="P139" i="2"/>
  <c r="Q139" i="2"/>
  <c r="R139" i="2"/>
  <c r="S139" i="2" s="1"/>
  <c r="C140" i="2"/>
  <c r="D140" i="2"/>
  <c r="E140" i="2"/>
  <c r="F140" i="2" s="1"/>
  <c r="H140" i="2"/>
  <c r="I140" i="2"/>
  <c r="J140" i="2"/>
  <c r="K140" i="2"/>
  <c r="L140" i="2"/>
  <c r="M140" i="2" s="1"/>
  <c r="N140" i="2"/>
  <c r="P140" i="2"/>
  <c r="Q140" i="2"/>
  <c r="R140" i="2"/>
  <c r="S140" i="2" s="1"/>
  <c r="C141" i="2"/>
  <c r="D141" i="2"/>
  <c r="E141" i="2"/>
  <c r="H141" i="2"/>
  <c r="I141" i="2"/>
  <c r="J141" i="2"/>
  <c r="K141" i="2"/>
  <c r="L141" i="2"/>
  <c r="M141" i="2" s="1"/>
  <c r="N141" i="2"/>
  <c r="P141" i="2"/>
  <c r="Q141" i="2"/>
  <c r="R141" i="2"/>
  <c r="S141" i="2" s="1"/>
  <c r="C142" i="2"/>
  <c r="D142" i="2"/>
  <c r="E142" i="2"/>
  <c r="F142" i="2" s="1"/>
  <c r="H142" i="2"/>
  <c r="I142" i="2"/>
  <c r="J142" i="2"/>
  <c r="K142" i="2"/>
  <c r="L142" i="2"/>
  <c r="M142" i="2" s="1"/>
  <c r="N142" i="2"/>
  <c r="P142" i="2"/>
  <c r="Q142" i="2"/>
  <c r="R142" i="2"/>
  <c r="S142" i="2" s="1"/>
  <c r="C143" i="2"/>
  <c r="D143" i="2"/>
  <c r="E143" i="2"/>
  <c r="H143" i="2"/>
  <c r="I143" i="2"/>
  <c r="J143" i="2"/>
  <c r="K143" i="2"/>
  <c r="L143" i="2"/>
  <c r="M143" i="2" s="1"/>
  <c r="N143" i="2"/>
  <c r="P143" i="2"/>
  <c r="Q143" i="2"/>
  <c r="R143" i="2"/>
  <c r="S143" i="2" s="1"/>
  <c r="C144" i="2"/>
  <c r="D144" i="2"/>
  <c r="E144" i="2"/>
  <c r="F144" i="2" s="1"/>
  <c r="H144" i="2"/>
  <c r="I144" i="2"/>
  <c r="J144" i="2"/>
  <c r="K144" i="2"/>
  <c r="L144" i="2"/>
  <c r="M144" i="2" s="1"/>
  <c r="N144" i="2"/>
  <c r="P144" i="2"/>
  <c r="Q144" i="2"/>
  <c r="R144" i="2"/>
  <c r="S144" i="2"/>
  <c r="C145" i="2"/>
  <c r="D145" i="2"/>
  <c r="E145" i="2"/>
  <c r="F145" i="2"/>
  <c r="G145" i="2"/>
  <c r="H145" i="2"/>
  <c r="I145" i="2"/>
  <c r="J145" i="2"/>
  <c r="K145" i="2"/>
  <c r="L145" i="2"/>
  <c r="M145" i="2" s="1"/>
  <c r="N145" i="2"/>
  <c r="P145" i="2"/>
  <c r="Q145" i="2"/>
  <c r="R145" i="2"/>
  <c r="S145" i="2" s="1"/>
  <c r="C146" i="2"/>
  <c r="D146" i="2"/>
  <c r="E146" i="2"/>
  <c r="F146" i="2" s="1"/>
  <c r="G146" i="2"/>
  <c r="H146" i="2"/>
  <c r="I146" i="2"/>
  <c r="J146" i="2"/>
  <c r="K146" i="2"/>
  <c r="L146" i="2"/>
  <c r="M146" i="2" s="1"/>
  <c r="N146" i="2"/>
  <c r="P146" i="2"/>
  <c r="Q146" i="2"/>
  <c r="R146" i="2"/>
  <c r="S146" i="2" s="1"/>
  <c r="C147" i="2"/>
  <c r="D147" i="2"/>
  <c r="E147" i="2"/>
  <c r="H147" i="2"/>
  <c r="I147" i="2"/>
  <c r="J147" i="2"/>
  <c r="K147" i="2"/>
  <c r="L147" i="2"/>
  <c r="M147" i="2"/>
  <c r="N147" i="2"/>
  <c r="P147" i="2"/>
  <c r="Q147" i="2"/>
  <c r="R147" i="2"/>
  <c r="S147" i="2" s="1"/>
  <c r="C148" i="2"/>
  <c r="D148" i="2"/>
  <c r="E148" i="2"/>
  <c r="F148" i="2" s="1"/>
  <c r="H148" i="2"/>
  <c r="I148" i="2"/>
  <c r="J148" i="2"/>
  <c r="K148" i="2"/>
  <c r="L148" i="2"/>
  <c r="M148" i="2" s="1"/>
  <c r="N148" i="2"/>
  <c r="P148" i="2"/>
  <c r="Q148" i="2"/>
  <c r="R148" i="2"/>
  <c r="S148" i="2" s="1"/>
  <c r="C149" i="2"/>
  <c r="D149" i="2"/>
  <c r="E149" i="2"/>
  <c r="F149" i="2"/>
  <c r="G149" i="2"/>
  <c r="H149" i="2"/>
  <c r="I149" i="2"/>
  <c r="J149" i="2"/>
  <c r="K149" i="2"/>
  <c r="L149" i="2"/>
  <c r="M149" i="2" s="1"/>
  <c r="N149" i="2"/>
  <c r="P149" i="2"/>
  <c r="Q149" i="2"/>
  <c r="R149" i="2"/>
  <c r="S149" i="2" s="1"/>
  <c r="C150" i="2"/>
  <c r="D150" i="2"/>
  <c r="E150" i="2"/>
  <c r="G150" i="2" s="1"/>
  <c r="F150" i="2"/>
  <c r="H150" i="2"/>
  <c r="I150" i="2"/>
  <c r="J150" i="2"/>
  <c r="K150" i="2"/>
  <c r="L150" i="2"/>
  <c r="M150" i="2"/>
  <c r="N150" i="2"/>
  <c r="P150" i="2"/>
  <c r="Q150" i="2"/>
  <c r="R150" i="2"/>
  <c r="S150" i="2" s="1"/>
  <c r="C151" i="2"/>
  <c r="D151" i="2"/>
  <c r="E151" i="2"/>
  <c r="H151" i="2"/>
  <c r="I151" i="2"/>
  <c r="J151" i="2"/>
  <c r="K151" i="2"/>
  <c r="L151" i="2"/>
  <c r="M151" i="2" s="1"/>
  <c r="N151" i="2"/>
  <c r="P151" i="2"/>
  <c r="Q151" i="2"/>
  <c r="R151" i="2"/>
  <c r="S151" i="2" s="1"/>
  <c r="C152" i="2"/>
  <c r="D152" i="2"/>
  <c r="E152" i="2"/>
  <c r="F152" i="2" s="1"/>
  <c r="H152" i="2"/>
  <c r="I152" i="2"/>
  <c r="J152" i="2"/>
  <c r="K152" i="2"/>
  <c r="L152" i="2"/>
  <c r="M152" i="2" s="1"/>
  <c r="N152" i="2"/>
  <c r="P152" i="2"/>
  <c r="Q152" i="2"/>
  <c r="R152" i="2"/>
  <c r="S152" i="2" s="1"/>
  <c r="C153" i="2"/>
  <c r="D153" i="2"/>
  <c r="E153" i="2"/>
  <c r="G153" i="2" s="1"/>
  <c r="H153" i="2"/>
  <c r="I153" i="2"/>
  <c r="J153" i="2"/>
  <c r="K153" i="2"/>
  <c r="L153" i="2"/>
  <c r="M153" i="2" s="1"/>
  <c r="N153" i="2"/>
  <c r="P153" i="2"/>
  <c r="Q153" i="2"/>
  <c r="R153" i="2"/>
  <c r="S153" i="2"/>
  <c r="C154" i="2"/>
  <c r="D154" i="2"/>
  <c r="E154" i="2"/>
  <c r="G154" i="2" s="1"/>
  <c r="F154" i="2"/>
  <c r="H154" i="2"/>
  <c r="I154" i="2"/>
  <c r="J154" i="2"/>
  <c r="K154" i="2"/>
  <c r="L154" i="2"/>
  <c r="M154" i="2" s="1"/>
  <c r="N154" i="2"/>
  <c r="P154" i="2"/>
  <c r="Q154" i="2"/>
  <c r="R154" i="2"/>
  <c r="S154" i="2" s="1"/>
  <c r="C155" i="2"/>
  <c r="D155" i="2"/>
  <c r="E155" i="2"/>
  <c r="H155" i="2"/>
  <c r="I155" i="2"/>
  <c r="J155" i="2"/>
  <c r="K155" i="2"/>
  <c r="L155" i="2"/>
  <c r="M155" i="2"/>
  <c r="N155" i="2"/>
  <c r="P155" i="2"/>
  <c r="Q155" i="2"/>
  <c r="R155" i="2"/>
  <c r="S155" i="2" s="1"/>
  <c r="C156" i="2"/>
  <c r="D156" i="2"/>
  <c r="E156" i="2"/>
  <c r="H156" i="2"/>
  <c r="I156" i="2"/>
  <c r="J156" i="2"/>
  <c r="K156" i="2"/>
  <c r="L156" i="2"/>
  <c r="M156" i="2" s="1"/>
  <c r="N156" i="2"/>
  <c r="P156" i="2"/>
  <c r="Q156" i="2"/>
  <c r="R156" i="2"/>
  <c r="S156" i="2" s="1"/>
  <c r="C157" i="2"/>
  <c r="D157" i="2"/>
  <c r="E157" i="2"/>
  <c r="H157" i="2"/>
  <c r="I157" i="2"/>
  <c r="J157" i="2"/>
  <c r="K157" i="2"/>
  <c r="L157" i="2"/>
  <c r="M157" i="2" s="1"/>
  <c r="N157" i="2"/>
  <c r="P157" i="2"/>
  <c r="Q157" i="2"/>
  <c r="R157" i="2"/>
  <c r="S157" i="2" s="1"/>
  <c r="C158" i="2"/>
  <c r="D158" i="2"/>
  <c r="E158" i="2"/>
  <c r="G158" i="2" s="1"/>
  <c r="F158" i="2"/>
  <c r="H158" i="2"/>
  <c r="I158" i="2"/>
  <c r="J158" i="2"/>
  <c r="K158" i="2"/>
  <c r="L158" i="2"/>
  <c r="M158" i="2"/>
  <c r="N158" i="2"/>
  <c r="P158" i="2"/>
  <c r="Q158" i="2"/>
  <c r="R158" i="2"/>
  <c r="S158" i="2" s="1"/>
  <c r="C159" i="2"/>
  <c r="D159" i="2"/>
  <c r="E159" i="2"/>
  <c r="H159" i="2"/>
  <c r="I159" i="2"/>
  <c r="J159" i="2"/>
  <c r="K159" i="2"/>
  <c r="L159" i="2"/>
  <c r="M159" i="2"/>
  <c r="N159" i="2"/>
  <c r="P159" i="2"/>
  <c r="Q159" i="2"/>
  <c r="R159" i="2"/>
  <c r="S159" i="2" s="1"/>
  <c r="C160" i="2"/>
  <c r="D160" i="2"/>
  <c r="E160" i="2"/>
  <c r="H160" i="2"/>
  <c r="I160" i="2"/>
  <c r="J160" i="2"/>
  <c r="K160" i="2"/>
  <c r="L160" i="2"/>
  <c r="M160" i="2" s="1"/>
  <c r="N160" i="2"/>
  <c r="P160" i="2"/>
  <c r="Q160" i="2"/>
  <c r="R160" i="2"/>
  <c r="S160" i="2"/>
  <c r="C161" i="2"/>
  <c r="D161" i="2"/>
  <c r="E161" i="2"/>
  <c r="G161" i="2" s="1"/>
  <c r="F161" i="2"/>
  <c r="H161" i="2"/>
  <c r="I161" i="2"/>
  <c r="J161" i="2"/>
  <c r="K161" i="2"/>
  <c r="L161" i="2"/>
  <c r="M161" i="2" s="1"/>
  <c r="N161" i="2"/>
  <c r="O161" i="2" s="1"/>
  <c r="P161" i="2"/>
  <c r="Q161" i="2"/>
  <c r="R161" i="2"/>
  <c r="S161" i="2" s="1"/>
  <c r="C162" i="2"/>
  <c r="D162" i="2"/>
  <c r="E162" i="2"/>
  <c r="G162" i="2" s="1"/>
  <c r="H162" i="2"/>
  <c r="I162" i="2"/>
  <c r="J162" i="2"/>
  <c r="K162" i="2"/>
  <c r="L162" i="2"/>
  <c r="M162" i="2"/>
  <c r="N162" i="2"/>
  <c r="P162" i="2"/>
  <c r="Q162" i="2"/>
  <c r="R162" i="2"/>
  <c r="S162" i="2" s="1"/>
  <c r="C163" i="2"/>
  <c r="D163" i="2"/>
  <c r="E163" i="2"/>
  <c r="G163" i="2" s="1"/>
  <c r="H163" i="2"/>
  <c r="I163" i="2"/>
  <c r="J163" i="2"/>
  <c r="K163" i="2"/>
  <c r="L163" i="2"/>
  <c r="M163" i="2" s="1"/>
  <c r="N163" i="2"/>
  <c r="P163" i="2"/>
  <c r="Q163" i="2"/>
  <c r="R163" i="2"/>
  <c r="S163" i="2" s="1"/>
  <c r="C164" i="2"/>
  <c r="D164" i="2"/>
  <c r="E164" i="2"/>
  <c r="H164" i="2"/>
  <c r="I164" i="2"/>
  <c r="J164" i="2"/>
  <c r="K164" i="2"/>
  <c r="L164" i="2"/>
  <c r="M164" i="2" s="1"/>
  <c r="N164" i="2"/>
  <c r="P164" i="2"/>
  <c r="Q164" i="2"/>
  <c r="R164" i="2"/>
  <c r="S164" i="2"/>
  <c r="C165" i="2"/>
  <c r="D165" i="2"/>
  <c r="E165" i="2"/>
  <c r="F165" i="2" s="1"/>
  <c r="G165" i="2"/>
  <c r="O165" i="2" s="1"/>
  <c r="H165" i="2"/>
  <c r="I165" i="2"/>
  <c r="J165" i="2"/>
  <c r="K165" i="2"/>
  <c r="L165" i="2"/>
  <c r="M165" i="2" s="1"/>
  <c r="N165" i="2"/>
  <c r="P165" i="2"/>
  <c r="Q165" i="2"/>
  <c r="R165" i="2"/>
  <c r="S165" i="2" s="1"/>
  <c r="C166" i="2"/>
  <c r="D166" i="2"/>
  <c r="E166" i="2"/>
  <c r="H166" i="2"/>
  <c r="I166" i="2"/>
  <c r="J166" i="2"/>
  <c r="K166" i="2"/>
  <c r="L166" i="2"/>
  <c r="M166" i="2" s="1"/>
  <c r="N166" i="2"/>
  <c r="P166" i="2"/>
  <c r="Q166" i="2"/>
  <c r="R166" i="2"/>
  <c r="S166" i="2" s="1"/>
  <c r="C167" i="2"/>
  <c r="D167" i="2"/>
  <c r="E167" i="2"/>
  <c r="G167" i="2" s="1"/>
  <c r="H167" i="2"/>
  <c r="I167" i="2"/>
  <c r="J167" i="2"/>
  <c r="K167" i="2"/>
  <c r="L167" i="2"/>
  <c r="M167" i="2" s="1"/>
  <c r="N167" i="2"/>
  <c r="P167" i="2"/>
  <c r="Q167" i="2"/>
  <c r="R167" i="2"/>
  <c r="S167" i="2" s="1"/>
  <c r="C168" i="2"/>
  <c r="D168" i="2"/>
  <c r="E168" i="2"/>
  <c r="F168" i="2" s="1"/>
  <c r="G168" i="2"/>
  <c r="O168" i="2" s="1"/>
  <c r="H168" i="2"/>
  <c r="I168" i="2"/>
  <c r="J168" i="2"/>
  <c r="K168" i="2"/>
  <c r="L168" i="2"/>
  <c r="M168" i="2" s="1"/>
  <c r="N168" i="2"/>
  <c r="P168" i="2"/>
  <c r="Q168" i="2"/>
  <c r="R168" i="2"/>
  <c r="S168" i="2" s="1"/>
  <c r="C169" i="2"/>
  <c r="D169" i="2"/>
  <c r="E169" i="2"/>
  <c r="G169" i="2" s="1"/>
  <c r="H169" i="2"/>
  <c r="I169" i="2"/>
  <c r="J169" i="2"/>
  <c r="K169" i="2"/>
  <c r="L169" i="2"/>
  <c r="M169" i="2" s="1"/>
  <c r="N169" i="2"/>
  <c r="P169" i="2"/>
  <c r="Q169" i="2"/>
  <c r="R169" i="2"/>
  <c r="S169" i="2" s="1"/>
  <c r="C170" i="2"/>
  <c r="D170" i="2"/>
  <c r="E170" i="2"/>
  <c r="H170" i="2"/>
  <c r="I170" i="2"/>
  <c r="J170" i="2"/>
  <c r="K170" i="2"/>
  <c r="L170" i="2"/>
  <c r="M170" i="2" s="1"/>
  <c r="N170" i="2"/>
  <c r="P170" i="2"/>
  <c r="Q170" i="2"/>
  <c r="R170" i="2"/>
  <c r="S170" i="2" s="1"/>
  <c r="C171" i="2"/>
  <c r="D171" i="2"/>
  <c r="E171" i="2"/>
  <c r="F171" i="2" s="1"/>
  <c r="H171" i="2"/>
  <c r="I171" i="2"/>
  <c r="J171" i="2"/>
  <c r="K171" i="2"/>
  <c r="L171" i="2"/>
  <c r="M171" i="2" s="1"/>
  <c r="N171" i="2"/>
  <c r="P171" i="2"/>
  <c r="Q171" i="2"/>
  <c r="R171" i="2"/>
  <c r="S171" i="2" s="1"/>
  <c r="C172" i="2"/>
  <c r="D172" i="2"/>
  <c r="E172" i="2"/>
  <c r="G172" i="2" s="1"/>
  <c r="H172" i="2"/>
  <c r="I172" i="2"/>
  <c r="J172" i="2"/>
  <c r="K172" i="2"/>
  <c r="L172" i="2"/>
  <c r="M172" i="2" s="1"/>
  <c r="N172" i="2"/>
  <c r="P172" i="2"/>
  <c r="Q172" i="2"/>
  <c r="R172" i="2"/>
  <c r="S172" i="2" s="1"/>
  <c r="C173" i="2"/>
  <c r="D173" i="2"/>
  <c r="E173" i="2"/>
  <c r="H173" i="2"/>
  <c r="I173" i="2"/>
  <c r="J173" i="2"/>
  <c r="K173" i="2"/>
  <c r="L173" i="2"/>
  <c r="M173" i="2"/>
  <c r="N173" i="2"/>
  <c r="P173" i="2"/>
  <c r="Q173" i="2"/>
  <c r="R173" i="2"/>
  <c r="S173" i="2" s="1"/>
  <c r="C174" i="2"/>
  <c r="D174" i="2"/>
  <c r="E174" i="2"/>
  <c r="H174" i="2"/>
  <c r="I174" i="2"/>
  <c r="J174" i="2"/>
  <c r="K174" i="2"/>
  <c r="L174" i="2"/>
  <c r="M174" i="2" s="1"/>
  <c r="N174" i="2"/>
  <c r="P174" i="2"/>
  <c r="Q174" i="2"/>
  <c r="R174" i="2"/>
  <c r="S174" i="2" s="1"/>
  <c r="C175" i="2"/>
  <c r="D175" i="2"/>
  <c r="E175" i="2"/>
  <c r="F175" i="2" s="1"/>
  <c r="G175" i="2"/>
  <c r="O175" i="2" s="1"/>
  <c r="H175" i="2"/>
  <c r="I175" i="2"/>
  <c r="J175" i="2"/>
  <c r="K175" i="2"/>
  <c r="L175" i="2"/>
  <c r="M175" i="2" s="1"/>
  <c r="N175" i="2"/>
  <c r="P175" i="2"/>
  <c r="Q175" i="2"/>
  <c r="R175" i="2"/>
  <c r="S175" i="2"/>
  <c r="C176" i="2"/>
  <c r="D176" i="2"/>
  <c r="E176" i="2"/>
  <c r="G176" i="2" s="1"/>
  <c r="H176" i="2"/>
  <c r="I176" i="2"/>
  <c r="J176" i="2"/>
  <c r="K176" i="2"/>
  <c r="L176" i="2"/>
  <c r="M176" i="2" s="1"/>
  <c r="N176" i="2"/>
  <c r="P176" i="2"/>
  <c r="Q176" i="2"/>
  <c r="R176" i="2"/>
  <c r="S176" i="2" s="1"/>
  <c r="C177" i="2"/>
  <c r="D177" i="2"/>
  <c r="E177" i="2"/>
  <c r="H177" i="2"/>
  <c r="I177" i="2"/>
  <c r="J177" i="2"/>
  <c r="K177" i="2"/>
  <c r="L177" i="2"/>
  <c r="M177" i="2" s="1"/>
  <c r="N177" i="2"/>
  <c r="P177" i="2"/>
  <c r="Q177" i="2"/>
  <c r="R177" i="2"/>
  <c r="S177" i="2" s="1"/>
  <c r="C178" i="2"/>
  <c r="D178" i="2"/>
  <c r="E178" i="2"/>
  <c r="F178" i="2" s="1"/>
  <c r="G178" i="2"/>
  <c r="H178" i="2"/>
  <c r="I178" i="2"/>
  <c r="J178" i="2"/>
  <c r="K178" i="2"/>
  <c r="L178" i="2"/>
  <c r="M178" i="2" s="1"/>
  <c r="N178" i="2"/>
  <c r="P178" i="2"/>
  <c r="Q178" i="2"/>
  <c r="R178" i="2"/>
  <c r="S178" i="2" s="1"/>
  <c r="C179" i="2"/>
  <c r="D179" i="2"/>
  <c r="E179" i="2"/>
  <c r="H179" i="2"/>
  <c r="I179" i="2"/>
  <c r="J179" i="2"/>
  <c r="K179" i="2"/>
  <c r="L179" i="2"/>
  <c r="M179" i="2" s="1"/>
  <c r="N179" i="2"/>
  <c r="P179" i="2"/>
  <c r="Q179" i="2"/>
  <c r="R179" i="2"/>
  <c r="S179" i="2" s="1"/>
  <c r="C180" i="2"/>
  <c r="D180" i="2"/>
  <c r="E180" i="2"/>
  <c r="G180" i="2" s="1"/>
  <c r="H180" i="2"/>
  <c r="I180" i="2"/>
  <c r="J180" i="2"/>
  <c r="K180" i="2"/>
  <c r="L180" i="2"/>
  <c r="M180" i="2" s="1"/>
  <c r="N180" i="2"/>
  <c r="P180" i="2"/>
  <c r="Q180" i="2"/>
  <c r="R180" i="2"/>
  <c r="S180" i="2" s="1"/>
  <c r="C181" i="2"/>
  <c r="D181" i="2"/>
  <c r="E181" i="2"/>
  <c r="H181" i="2"/>
  <c r="I181" i="2"/>
  <c r="J181" i="2"/>
  <c r="K181" i="2"/>
  <c r="L181" i="2"/>
  <c r="M181" i="2" s="1"/>
  <c r="N181" i="2"/>
  <c r="P181" i="2"/>
  <c r="Q181" i="2"/>
  <c r="R181" i="2"/>
  <c r="S181" i="2" s="1"/>
  <c r="C182" i="2"/>
  <c r="D182" i="2"/>
  <c r="E182" i="2"/>
  <c r="F182" i="2" s="1"/>
  <c r="G182" i="2"/>
  <c r="H182" i="2"/>
  <c r="I182" i="2"/>
  <c r="J182" i="2"/>
  <c r="K182" i="2"/>
  <c r="L182" i="2"/>
  <c r="M182" i="2" s="1"/>
  <c r="N182" i="2"/>
  <c r="P182" i="2"/>
  <c r="Q182" i="2"/>
  <c r="R182" i="2"/>
  <c r="S182" i="2" s="1"/>
  <c r="C183" i="2"/>
  <c r="D183" i="2"/>
  <c r="E183" i="2"/>
  <c r="H183" i="2"/>
  <c r="I183" i="2"/>
  <c r="J183" i="2"/>
  <c r="K183" i="2"/>
  <c r="L183" i="2"/>
  <c r="M183" i="2" s="1"/>
  <c r="N183" i="2"/>
  <c r="P183" i="2"/>
  <c r="Q183" i="2"/>
  <c r="R183" i="2"/>
  <c r="S183" i="2" s="1"/>
  <c r="C184" i="2"/>
  <c r="D184" i="2"/>
  <c r="E184" i="2"/>
  <c r="H184" i="2"/>
  <c r="I184" i="2"/>
  <c r="J184" i="2"/>
  <c r="K184" i="2"/>
  <c r="L184" i="2"/>
  <c r="M184" i="2" s="1"/>
  <c r="N184" i="2"/>
  <c r="P184" i="2"/>
  <c r="Q184" i="2"/>
  <c r="R184" i="2"/>
  <c r="S184" i="2" s="1"/>
  <c r="C185" i="2"/>
  <c r="D185" i="2"/>
  <c r="E185" i="2"/>
  <c r="H185" i="2"/>
  <c r="I185" i="2"/>
  <c r="J185" i="2"/>
  <c r="K185" i="2"/>
  <c r="L185" i="2"/>
  <c r="M185" i="2" s="1"/>
  <c r="N185" i="2"/>
  <c r="P185" i="2"/>
  <c r="Q185" i="2"/>
  <c r="R185" i="2"/>
  <c r="S185" i="2"/>
  <c r="C186" i="2"/>
  <c r="D186" i="2"/>
  <c r="E186" i="2"/>
  <c r="H186" i="2"/>
  <c r="I186" i="2"/>
  <c r="J186" i="2"/>
  <c r="K186" i="2"/>
  <c r="L186" i="2"/>
  <c r="M186" i="2" s="1"/>
  <c r="N186" i="2"/>
  <c r="P186" i="2"/>
  <c r="Q186" i="2"/>
  <c r="R186" i="2"/>
  <c r="S186" i="2" s="1"/>
  <c r="C187" i="2"/>
  <c r="D187" i="2"/>
  <c r="E187" i="2"/>
  <c r="H187" i="2"/>
  <c r="I187" i="2"/>
  <c r="J187" i="2"/>
  <c r="K187" i="2"/>
  <c r="L187" i="2"/>
  <c r="M187" i="2"/>
  <c r="N187" i="2"/>
  <c r="P187" i="2"/>
  <c r="Q187" i="2"/>
  <c r="R187" i="2"/>
  <c r="S187" i="2" s="1"/>
  <c r="C188" i="2"/>
  <c r="D188" i="2"/>
  <c r="E188" i="2"/>
  <c r="H188" i="2"/>
  <c r="I188" i="2"/>
  <c r="J188" i="2"/>
  <c r="K188" i="2"/>
  <c r="L188" i="2"/>
  <c r="M188" i="2" s="1"/>
  <c r="N188" i="2"/>
  <c r="P188" i="2"/>
  <c r="Q188" i="2"/>
  <c r="R188" i="2"/>
  <c r="S188" i="2" s="1"/>
  <c r="C189" i="2"/>
  <c r="D189" i="2"/>
  <c r="E189" i="2"/>
  <c r="H189" i="2"/>
  <c r="I189" i="2"/>
  <c r="J189" i="2"/>
  <c r="K189" i="2"/>
  <c r="L189" i="2"/>
  <c r="M189" i="2"/>
  <c r="N189" i="2"/>
  <c r="P189" i="2"/>
  <c r="Q189" i="2"/>
  <c r="R189" i="2"/>
  <c r="S189" i="2"/>
  <c r="C190" i="2"/>
  <c r="D190" i="2"/>
  <c r="E190" i="2"/>
  <c r="H190" i="2"/>
  <c r="I190" i="2"/>
  <c r="J190" i="2"/>
  <c r="K190" i="2"/>
  <c r="L190" i="2"/>
  <c r="M190" i="2" s="1"/>
  <c r="N190" i="2"/>
  <c r="P190" i="2"/>
  <c r="Q190" i="2"/>
  <c r="R190" i="2"/>
  <c r="S190" i="2" s="1"/>
  <c r="C191" i="2"/>
  <c r="D191" i="2"/>
  <c r="E191" i="2"/>
  <c r="F191" i="2" s="1"/>
  <c r="H191" i="2"/>
  <c r="I191" i="2"/>
  <c r="J191" i="2"/>
  <c r="K191" i="2"/>
  <c r="L191" i="2"/>
  <c r="M191" i="2" s="1"/>
  <c r="N191" i="2"/>
  <c r="P191" i="2"/>
  <c r="Q191" i="2"/>
  <c r="R191" i="2"/>
  <c r="S191" i="2" s="1"/>
  <c r="C192" i="2"/>
  <c r="D192" i="2"/>
  <c r="E192" i="2"/>
  <c r="G192" i="2" s="1"/>
  <c r="H192" i="2"/>
  <c r="I192" i="2"/>
  <c r="J192" i="2"/>
  <c r="K192" i="2"/>
  <c r="L192" i="2"/>
  <c r="M192" i="2" s="1"/>
  <c r="N192" i="2"/>
  <c r="P192" i="2"/>
  <c r="Q192" i="2"/>
  <c r="R192" i="2"/>
  <c r="S192" i="2" s="1"/>
  <c r="C193" i="2"/>
  <c r="D193" i="2"/>
  <c r="E193" i="2"/>
  <c r="H193" i="2"/>
  <c r="I193" i="2"/>
  <c r="J193" i="2"/>
  <c r="K193" i="2"/>
  <c r="L193" i="2"/>
  <c r="M193" i="2" s="1"/>
  <c r="N193" i="2"/>
  <c r="P193" i="2"/>
  <c r="Q193" i="2"/>
  <c r="R193" i="2"/>
  <c r="S193" i="2" s="1"/>
  <c r="C194" i="2"/>
  <c r="D194" i="2"/>
  <c r="E194" i="2"/>
  <c r="H194" i="2"/>
  <c r="I194" i="2"/>
  <c r="J194" i="2"/>
  <c r="K194" i="2"/>
  <c r="L194" i="2"/>
  <c r="M194" i="2" s="1"/>
  <c r="N194" i="2"/>
  <c r="P194" i="2"/>
  <c r="Q194" i="2"/>
  <c r="R194" i="2"/>
  <c r="S194" i="2" s="1"/>
  <c r="C195" i="2"/>
  <c r="D195" i="2"/>
  <c r="E195" i="2"/>
  <c r="F195" i="2" s="1"/>
  <c r="H195" i="2"/>
  <c r="I195" i="2"/>
  <c r="J195" i="2"/>
  <c r="K195" i="2"/>
  <c r="L195" i="2"/>
  <c r="M195" i="2" s="1"/>
  <c r="N195" i="2"/>
  <c r="P195" i="2"/>
  <c r="Q195" i="2"/>
  <c r="R195" i="2"/>
  <c r="S195" i="2" s="1"/>
  <c r="C196" i="2"/>
  <c r="D196" i="2"/>
  <c r="E196" i="2"/>
  <c r="G196" i="2" s="1"/>
  <c r="H196" i="2"/>
  <c r="I196" i="2"/>
  <c r="J196" i="2"/>
  <c r="K196" i="2"/>
  <c r="L196" i="2"/>
  <c r="M196" i="2" s="1"/>
  <c r="N196" i="2"/>
  <c r="P196" i="2"/>
  <c r="Q196" i="2"/>
  <c r="R196" i="2"/>
  <c r="S196" i="2" s="1"/>
  <c r="C197" i="2"/>
  <c r="D197" i="2"/>
  <c r="E197" i="2"/>
  <c r="H197" i="2"/>
  <c r="I197" i="2"/>
  <c r="J197" i="2"/>
  <c r="K197" i="2"/>
  <c r="L197" i="2"/>
  <c r="M197" i="2" s="1"/>
  <c r="N197" i="2"/>
  <c r="P197" i="2"/>
  <c r="Q197" i="2"/>
  <c r="R197" i="2"/>
  <c r="S197" i="2" s="1"/>
  <c r="C198" i="2"/>
  <c r="D198" i="2"/>
  <c r="E198" i="2"/>
  <c r="H198" i="2"/>
  <c r="I198" i="2"/>
  <c r="J198" i="2"/>
  <c r="K198" i="2"/>
  <c r="L198" i="2"/>
  <c r="M198" i="2" s="1"/>
  <c r="N198" i="2"/>
  <c r="P198" i="2"/>
  <c r="Q198" i="2"/>
  <c r="R198" i="2"/>
  <c r="S198" i="2" s="1"/>
  <c r="C199" i="2"/>
  <c r="D199" i="2"/>
  <c r="E199" i="2"/>
  <c r="F199" i="2" s="1"/>
  <c r="G199" i="2"/>
  <c r="O199" i="2" s="1"/>
  <c r="H199" i="2"/>
  <c r="I199" i="2"/>
  <c r="J199" i="2"/>
  <c r="K199" i="2"/>
  <c r="L199" i="2"/>
  <c r="M199" i="2" s="1"/>
  <c r="N199" i="2"/>
  <c r="P199" i="2"/>
  <c r="Q199" i="2"/>
  <c r="R199" i="2"/>
  <c r="S199" i="2" s="1"/>
  <c r="C200" i="2"/>
  <c r="D200" i="2"/>
  <c r="E200" i="2"/>
  <c r="G200" i="2" s="1"/>
  <c r="F200" i="2"/>
  <c r="H200" i="2"/>
  <c r="I200" i="2"/>
  <c r="J200" i="2"/>
  <c r="K200" i="2"/>
  <c r="L200" i="2"/>
  <c r="M200" i="2" s="1"/>
  <c r="N200" i="2"/>
  <c r="P200" i="2"/>
  <c r="Q200" i="2"/>
  <c r="R200" i="2"/>
  <c r="S200" i="2" s="1"/>
  <c r="C201" i="2"/>
  <c r="D201" i="2"/>
  <c r="E201" i="2"/>
  <c r="H201" i="2"/>
  <c r="I201" i="2"/>
  <c r="J201" i="2"/>
  <c r="K201" i="2"/>
  <c r="L201" i="2"/>
  <c r="M201" i="2" s="1"/>
  <c r="N201" i="2"/>
  <c r="P201" i="2"/>
  <c r="Q201" i="2"/>
  <c r="R201" i="2"/>
  <c r="S201" i="2" s="1"/>
  <c r="C202" i="2"/>
  <c r="D202" i="2"/>
  <c r="E202" i="2"/>
  <c r="F202" i="2" s="1"/>
  <c r="G202" i="2"/>
  <c r="H202" i="2"/>
  <c r="I202" i="2"/>
  <c r="J202" i="2"/>
  <c r="K202" i="2"/>
  <c r="L202" i="2"/>
  <c r="M202" i="2" s="1"/>
  <c r="N202" i="2"/>
  <c r="P202" i="2"/>
  <c r="Q202" i="2"/>
  <c r="R202" i="2"/>
  <c r="S202" i="2" s="1"/>
  <c r="C203" i="2"/>
  <c r="D203" i="2"/>
  <c r="E203" i="2"/>
  <c r="H203" i="2"/>
  <c r="I203" i="2"/>
  <c r="J203" i="2"/>
  <c r="K203" i="2"/>
  <c r="L203" i="2"/>
  <c r="M203" i="2" s="1"/>
  <c r="N203" i="2"/>
  <c r="P203" i="2"/>
  <c r="Q203" i="2"/>
  <c r="R203" i="2"/>
  <c r="S203" i="2" s="1"/>
  <c r="C204" i="2"/>
  <c r="D204" i="2"/>
  <c r="E204" i="2"/>
  <c r="G204" i="2" s="1"/>
  <c r="H204" i="2"/>
  <c r="I204" i="2"/>
  <c r="J204" i="2"/>
  <c r="K204" i="2"/>
  <c r="L204" i="2"/>
  <c r="M204" i="2" s="1"/>
  <c r="N204" i="2"/>
  <c r="P204" i="2"/>
  <c r="Q204" i="2"/>
  <c r="R204" i="2"/>
  <c r="S204" i="2" s="1"/>
  <c r="C205" i="2"/>
  <c r="D205" i="2"/>
  <c r="E205" i="2"/>
  <c r="H205" i="2"/>
  <c r="I205" i="2"/>
  <c r="J205" i="2"/>
  <c r="K205" i="2"/>
  <c r="L205" i="2"/>
  <c r="M205" i="2" s="1"/>
  <c r="N205" i="2"/>
  <c r="P205" i="2"/>
  <c r="Q205" i="2"/>
  <c r="R205" i="2"/>
  <c r="S205" i="2" s="1"/>
  <c r="C206" i="2"/>
  <c r="D206" i="2"/>
  <c r="E206" i="2"/>
  <c r="F206" i="2"/>
  <c r="G206" i="2"/>
  <c r="H206" i="2"/>
  <c r="I206" i="2"/>
  <c r="J206" i="2"/>
  <c r="K206" i="2"/>
  <c r="L206" i="2"/>
  <c r="M206" i="2" s="1"/>
  <c r="N206" i="2"/>
  <c r="P206" i="2"/>
  <c r="Q206" i="2"/>
  <c r="R206" i="2"/>
  <c r="S206" i="2" s="1"/>
  <c r="C207" i="2"/>
  <c r="D207" i="2"/>
  <c r="E207" i="2"/>
  <c r="H207" i="2"/>
  <c r="I207" i="2"/>
  <c r="J207" i="2"/>
  <c r="K207" i="2"/>
  <c r="L207" i="2"/>
  <c r="M207" i="2"/>
  <c r="N207" i="2"/>
  <c r="P207" i="2"/>
  <c r="Q207" i="2"/>
  <c r="R207" i="2"/>
  <c r="S207" i="2" s="1"/>
  <c r="C208" i="2"/>
  <c r="D208" i="2"/>
  <c r="E208" i="2"/>
  <c r="H208" i="2"/>
  <c r="I208" i="2"/>
  <c r="J208" i="2"/>
  <c r="K208" i="2"/>
  <c r="L208" i="2"/>
  <c r="M208" i="2" s="1"/>
  <c r="N208" i="2"/>
  <c r="P208" i="2"/>
  <c r="Q208" i="2"/>
  <c r="R208" i="2"/>
  <c r="S208" i="2" s="1"/>
  <c r="C209" i="2"/>
  <c r="D209" i="2"/>
  <c r="E209" i="2"/>
  <c r="H209" i="2"/>
  <c r="I209" i="2"/>
  <c r="J209" i="2"/>
  <c r="K209" i="2"/>
  <c r="L209" i="2"/>
  <c r="M209" i="2" s="1"/>
  <c r="N209" i="2"/>
  <c r="P209" i="2"/>
  <c r="Q209" i="2"/>
  <c r="R209" i="2"/>
  <c r="S209" i="2"/>
  <c r="C210" i="2"/>
  <c r="D210" i="2"/>
  <c r="E210" i="2"/>
  <c r="G210" i="2" s="1"/>
  <c r="H210" i="2"/>
  <c r="I210" i="2"/>
  <c r="J210" i="2"/>
  <c r="K210" i="2"/>
  <c r="L210" i="2"/>
  <c r="M210" i="2" s="1"/>
  <c r="N210" i="2"/>
  <c r="P210" i="2"/>
  <c r="Q210" i="2"/>
  <c r="R210" i="2"/>
  <c r="S210" i="2" s="1"/>
  <c r="C211" i="2"/>
  <c r="D211" i="2"/>
  <c r="E211" i="2"/>
  <c r="F211" i="2" s="1"/>
  <c r="H211" i="2"/>
  <c r="I211" i="2"/>
  <c r="J211" i="2"/>
  <c r="K211" i="2"/>
  <c r="L211" i="2"/>
  <c r="M211" i="2" s="1"/>
  <c r="N211" i="2"/>
  <c r="P211" i="2"/>
  <c r="Q211" i="2"/>
  <c r="R211" i="2"/>
  <c r="S211" i="2" s="1"/>
  <c r="C212" i="2"/>
  <c r="D212" i="2"/>
  <c r="E212" i="2"/>
  <c r="H212" i="2"/>
  <c r="I212" i="2"/>
  <c r="J212" i="2"/>
  <c r="K212" i="2"/>
  <c r="L212" i="2"/>
  <c r="M212" i="2" s="1"/>
  <c r="N212" i="2"/>
  <c r="P212" i="2"/>
  <c r="Q212" i="2"/>
  <c r="R212" i="2"/>
  <c r="S212" i="2" s="1"/>
  <c r="C213" i="2"/>
  <c r="D213" i="2"/>
  <c r="E213" i="2"/>
  <c r="H213" i="2"/>
  <c r="I213" i="2"/>
  <c r="J213" i="2"/>
  <c r="K213" i="2"/>
  <c r="L213" i="2"/>
  <c r="M213" i="2" s="1"/>
  <c r="N213" i="2"/>
  <c r="P213" i="2"/>
  <c r="Q213" i="2"/>
  <c r="R213" i="2"/>
  <c r="S213" i="2" s="1"/>
  <c r="C214" i="2"/>
  <c r="D214" i="2"/>
  <c r="E214" i="2"/>
  <c r="G214" i="2" s="1"/>
  <c r="H214" i="2"/>
  <c r="I214" i="2"/>
  <c r="J214" i="2"/>
  <c r="K214" i="2"/>
  <c r="L214" i="2"/>
  <c r="M214" i="2" s="1"/>
  <c r="N214" i="2"/>
  <c r="O214" i="2" s="1"/>
  <c r="P214" i="2"/>
  <c r="Q214" i="2"/>
  <c r="R214" i="2"/>
  <c r="S214" i="2" s="1"/>
  <c r="C215" i="2"/>
  <c r="D215" i="2"/>
  <c r="E215" i="2"/>
  <c r="F215" i="2" s="1"/>
  <c r="H215" i="2"/>
  <c r="I215" i="2"/>
  <c r="J215" i="2"/>
  <c r="K215" i="2"/>
  <c r="L215" i="2"/>
  <c r="M215" i="2" s="1"/>
  <c r="N215" i="2"/>
  <c r="P215" i="2"/>
  <c r="Q215" i="2"/>
  <c r="R215" i="2"/>
  <c r="S215" i="2" s="1"/>
  <c r="C216" i="2"/>
  <c r="D216" i="2"/>
  <c r="E216" i="2"/>
  <c r="G216" i="2" s="1"/>
  <c r="H216" i="2"/>
  <c r="I216" i="2"/>
  <c r="J216" i="2"/>
  <c r="K216" i="2"/>
  <c r="L216" i="2"/>
  <c r="M216" i="2" s="1"/>
  <c r="N216" i="2"/>
  <c r="P216" i="2"/>
  <c r="Q216" i="2"/>
  <c r="R216" i="2"/>
  <c r="S216" i="2" s="1"/>
  <c r="C217" i="2"/>
  <c r="D217" i="2"/>
  <c r="E217" i="2"/>
  <c r="H217" i="2"/>
  <c r="I217" i="2"/>
  <c r="J217" i="2"/>
  <c r="K217" i="2"/>
  <c r="L217" i="2"/>
  <c r="M217" i="2" s="1"/>
  <c r="N217" i="2"/>
  <c r="P217" i="2"/>
  <c r="Q217" i="2"/>
  <c r="R217" i="2"/>
  <c r="S217" i="2" s="1"/>
  <c r="C218" i="2"/>
  <c r="D218" i="2"/>
  <c r="E218" i="2"/>
  <c r="H218" i="2"/>
  <c r="I218" i="2"/>
  <c r="J218" i="2"/>
  <c r="K218" i="2"/>
  <c r="L218" i="2"/>
  <c r="M218" i="2" s="1"/>
  <c r="N218" i="2"/>
  <c r="P218" i="2"/>
  <c r="Q218" i="2"/>
  <c r="R218" i="2"/>
  <c r="S218" i="2" s="1"/>
  <c r="C219" i="2"/>
  <c r="D219" i="2"/>
  <c r="E219" i="2"/>
  <c r="F219" i="2" s="1"/>
  <c r="G219" i="2"/>
  <c r="O219" i="2" s="1"/>
  <c r="H219" i="2"/>
  <c r="I219" i="2"/>
  <c r="J219" i="2"/>
  <c r="K219" i="2"/>
  <c r="L219" i="2"/>
  <c r="M219" i="2" s="1"/>
  <c r="N219" i="2"/>
  <c r="P219" i="2"/>
  <c r="Q219" i="2"/>
  <c r="R219" i="2"/>
  <c r="S219" i="2" s="1"/>
  <c r="C220" i="2"/>
  <c r="D220" i="2"/>
  <c r="E220" i="2"/>
  <c r="G220" i="2" s="1"/>
  <c r="F220" i="2"/>
  <c r="H220" i="2"/>
  <c r="I220" i="2"/>
  <c r="J220" i="2"/>
  <c r="K220" i="2"/>
  <c r="L220" i="2"/>
  <c r="M220" i="2" s="1"/>
  <c r="N220" i="2"/>
  <c r="P220" i="2"/>
  <c r="Q220" i="2"/>
  <c r="R220" i="2"/>
  <c r="S220" i="2" s="1"/>
  <c r="C221" i="2"/>
  <c r="D221" i="2"/>
  <c r="E221" i="2"/>
  <c r="H221" i="2"/>
  <c r="I221" i="2"/>
  <c r="J221" i="2"/>
  <c r="K221" i="2"/>
  <c r="L221" i="2"/>
  <c r="M221" i="2" s="1"/>
  <c r="N221" i="2"/>
  <c r="P221" i="2"/>
  <c r="Q221" i="2"/>
  <c r="R221" i="2"/>
  <c r="S221" i="2" s="1"/>
  <c r="C222" i="2"/>
  <c r="D222" i="2"/>
  <c r="E222" i="2"/>
  <c r="F222" i="2" s="1"/>
  <c r="G222" i="2"/>
  <c r="H222" i="2"/>
  <c r="I222" i="2"/>
  <c r="J222" i="2"/>
  <c r="K222" i="2"/>
  <c r="L222" i="2"/>
  <c r="M222" i="2" s="1"/>
  <c r="N222" i="2"/>
  <c r="P222" i="2"/>
  <c r="Q222" i="2"/>
  <c r="R222" i="2"/>
  <c r="S222" i="2" s="1"/>
  <c r="C223" i="2"/>
  <c r="D223" i="2"/>
  <c r="E223" i="2"/>
  <c r="F223" i="2" s="1"/>
  <c r="G223" i="2"/>
  <c r="O223" i="2" s="1"/>
  <c r="H223" i="2"/>
  <c r="I223" i="2"/>
  <c r="J223" i="2"/>
  <c r="K223" i="2"/>
  <c r="L223" i="2"/>
  <c r="M223" i="2" s="1"/>
  <c r="N223" i="2"/>
  <c r="P223" i="2"/>
  <c r="Q223" i="2"/>
  <c r="R223" i="2"/>
  <c r="S223" i="2" s="1"/>
  <c r="C224" i="2"/>
  <c r="D224" i="2"/>
  <c r="E224" i="2"/>
  <c r="G224" i="2" s="1"/>
  <c r="H224" i="2"/>
  <c r="I224" i="2"/>
  <c r="J224" i="2"/>
  <c r="K224" i="2"/>
  <c r="L224" i="2"/>
  <c r="M224" i="2" s="1"/>
  <c r="N224" i="2"/>
  <c r="P224" i="2"/>
  <c r="Q224" i="2"/>
  <c r="R224" i="2"/>
  <c r="S224" i="2" s="1"/>
  <c r="C225" i="2"/>
  <c r="D225" i="2"/>
  <c r="E225" i="2"/>
  <c r="H225" i="2"/>
  <c r="I225" i="2"/>
  <c r="J225" i="2"/>
  <c r="K225" i="2"/>
  <c r="L225" i="2"/>
  <c r="M225" i="2" s="1"/>
  <c r="N225" i="2"/>
  <c r="P225" i="2"/>
  <c r="Q225" i="2"/>
  <c r="R225" i="2"/>
  <c r="S225" i="2"/>
  <c r="C226" i="2"/>
  <c r="D226" i="2"/>
  <c r="E226" i="2"/>
  <c r="H226" i="2"/>
  <c r="I226" i="2"/>
  <c r="J226" i="2"/>
  <c r="K226" i="2"/>
  <c r="L226" i="2"/>
  <c r="M226" i="2" s="1"/>
  <c r="N226" i="2"/>
  <c r="P226" i="2"/>
  <c r="Q226" i="2"/>
  <c r="R226" i="2"/>
  <c r="S226" i="2" s="1"/>
  <c r="C227" i="2"/>
  <c r="D227" i="2"/>
  <c r="E227" i="2"/>
  <c r="H227" i="2"/>
  <c r="I227" i="2"/>
  <c r="J227" i="2"/>
  <c r="K227" i="2"/>
  <c r="L227" i="2"/>
  <c r="M227" i="2" s="1"/>
  <c r="N227" i="2"/>
  <c r="P227" i="2"/>
  <c r="Q227" i="2"/>
  <c r="R227" i="2"/>
  <c r="S227" i="2" s="1"/>
  <c r="C228" i="2"/>
  <c r="D228" i="2"/>
  <c r="E228" i="2"/>
  <c r="H228" i="2"/>
  <c r="I228" i="2"/>
  <c r="J228" i="2"/>
  <c r="K228" i="2"/>
  <c r="L228" i="2"/>
  <c r="M228" i="2" s="1"/>
  <c r="N228" i="2"/>
  <c r="P228" i="2"/>
  <c r="Q228" i="2"/>
  <c r="R228" i="2"/>
  <c r="S228" i="2" s="1"/>
  <c r="C229" i="2"/>
  <c r="D229" i="2"/>
  <c r="E229" i="2"/>
  <c r="H229" i="2"/>
  <c r="I229" i="2"/>
  <c r="J229" i="2"/>
  <c r="K229" i="2"/>
  <c r="L229" i="2"/>
  <c r="M229" i="2"/>
  <c r="N229" i="2"/>
  <c r="P229" i="2"/>
  <c r="Q229" i="2"/>
  <c r="R229" i="2"/>
  <c r="S229" i="2" s="1"/>
  <c r="C230" i="2"/>
  <c r="D230" i="2"/>
  <c r="E230" i="2"/>
  <c r="H230" i="2"/>
  <c r="I230" i="2"/>
  <c r="J230" i="2"/>
  <c r="K230" i="2"/>
  <c r="L230" i="2"/>
  <c r="M230" i="2" s="1"/>
  <c r="N230" i="2"/>
  <c r="P230" i="2"/>
  <c r="Q230" i="2"/>
  <c r="R230" i="2"/>
  <c r="S230" i="2" s="1"/>
  <c r="C231" i="2"/>
  <c r="D231" i="2"/>
  <c r="E231" i="2"/>
  <c r="F231" i="2" s="1"/>
  <c r="H231" i="2"/>
  <c r="I231" i="2"/>
  <c r="J231" i="2"/>
  <c r="K231" i="2"/>
  <c r="L231" i="2"/>
  <c r="M231" i="2"/>
  <c r="N231" i="2"/>
  <c r="P231" i="2"/>
  <c r="Q231" i="2"/>
  <c r="R231" i="2"/>
  <c r="S231" i="2" s="1"/>
  <c r="C232" i="2"/>
  <c r="D232" i="2"/>
  <c r="E232" i="2"/>
  <c r="G232" i="2" s="1"/>
  <c r="H232" i="2"/>
  <c r="I232" i="2"/>
  <c r="J232" i="2"/>
  <c r="K232" i="2"/>
  <c r="L232" i="2"/>
  <c r="M232" i="2" s="1"/>
  <c r="N232" i="2"/>
  <c r="P232" i="2"/>
  <c r="Q232" i="2"/>
  <c r="R232" i="2"/>
  <c r="S232" i="2" s="1"/>
  <c r="C233" i="2"/>
  <c r="D233" i="2"/>
  <c r="E233" i="2"/>
  <c r="H233" i="2"/>
  <c r="I233" i="2"/>
  <c r="J233" i="2"/>
  <c r="K233" i="2"/>
  <c r="L233" i="2"/>
  <c r="M233" i="2" s="1"/>
  <c r="N233" i="2"/>
  <c r="P233" i="2"/>
  <c r="Q233" i="2"/>
  <c r="R233" i="2"/>
  <c r="S233" i="2" s="1"/>
  <c r="C234" i="2"/>
  <c r="D234" i="2"/>
  <c r="E234" i="2"/>
  <c r="H234" i="2"/>
  <c r="I234" i="2"/>
  <c r="J234" i="2"/>
  <c r="K234" i="2"/>
  <c r="L234" i="2"/>
  <c r="M234" i="2" s="1"/>
  <c r="N234" i="2"/>
  <c r="P234" i="2"/>
  <c r="Q234" i="2"/>
  <c r="R234" i="2"/>
  <c r="S234" i="2" s="1"/>
  <c r="C235" i="2"/>
  <c r="D235" i="2"/>
  <c r="E235" i="2"/>
  <c r="F235" i="2" s="1"/>
  <c r="G235" i="2"/>
  <c r="O235" i="2" s="1"/>
  <c r="H235" i="2"/>
  <c r="I235" i="2"/>
  <c r="J235" i="2"/>
  <c r="K235" i="2"/>
  <c r="L235" i="2"/>
  <c r="M235" i="2" s="1"/>
  <c r="N235" i="2"/>
  <c r="P235" i="2"/>
  <c r="Q235" i="2"/>
  <c r="R235" i="2"/>
  <c r="S235" i="2" s="1"/>
  <c r="C236" i="2"/>
  <c r="D236" i="2"/>
  <c r="E236" i="2"/>
  <c r="G236" i="2" s="1"/>
  <c r="F236" i="2"/>
  <c r="H236" i="2"/>
  <c r="I236" i="2"/>
  <c r="J236" i="2"/>
  <c r="K236" i="2"/>
  <c r="L236" i="2"/>
  <c r="M236" i="2" s="1"/>
  <c r="N236" i="2"/>
  <c r="P236" i="2"/>
  <c r="Q236" i="2"/>
  <c r="R236" i="2"/>
  <c r="S236" i="2" s="1"/>
  <c r="C237" i="2"/>
  <c r="D237" i="2"/>
  <c r="E237" i="2"/>
  <c r="H237" i="2"/>
  <c r="I237" i="2"/>
  <c r="J237" i="2"/>
  <c r="K237" i="2"/>
  <c r="L237" i="2"/>
  <c r="M237" i="2" s="1"/>
  <c r="N237" i="2"/>
  <c r="P237" i="2"/>
  <c r="Q237" i="2"/>
  <c r="R237" i="2"/>
  <c r="S237" i="2" s="1"/>
  <c r="C238" i="2"/>
  <c r="D238" i="2"/>
  <c r="E238" i="2"/>
  <c r="F238" i="2" s="1"/>
  <c r="G238" i="2"/>
  <c r="H238" i="2"/>
  <c r="I238" i="2"/>
  <c r="J238" i="2"/>
  <c r="K238" i="2"/>
  <c r="L238" i="2"/>
  <c r="M238" i="2" s="1"/>
  <c r="N238" i="2"/>
  <c r="P238" i="2"/>
  <c r="Q238" i="2"/>
  <c r="R238" i="2"/>
  <c r="S238" i="2" s="1"/>
  <c r="C239" i="2"/>
  <c r="D239" i="2"/>
  <c r="E239" i="2"/>
  <c r="H239" i="2"/>
  <c r="I239" i="2"/>
  <c r="J239" i="2"/>
  <c r="K239" i="2"/>
  <c r="L239" i="2"/>
  <c r="M239" i="2" s="1"/>
  <c r="N239" i="2"/>
  <c r="P239" i="2"/>
  <c r="Q239" i="2"/>
  <c r="R239" i="2"/>
  <c r="S239" i="2" s="1"/>
  <c r="C240" i="2"/>
  <c r="D240" i="2"/>
  <c r="E240" i="2"/>
  <c r="H240" i="2"/>
  <c r="I240" i="2"/>
  <c r="J240" i="2"/>
  <c r="K240" i="2"/>
  <c r="L240" i="2"/>
  <c r="M240" i="2" s="1"/>
  <c r="N240" i="2"/>
  <c r="P240" i="2"/>
  <c r="Q240" i="2"/>
  <c r="R240" i="2"/>
  <c r="S240" i="2" s="1"/>
  <c r="C241" i="2"/>
  <c r="D241" i="2"/>
  <c r="E241" i="2"/>
  <c r="H241" i="2"/>
  <c r="I241" i="2"/>
  <c r="J241" i="2"/>
  <c r="K241" i="2"/>
  <c r="L241" i="2"/>
  <c r="M241" i="2"/>
  <c r="N241" i="2"/>
  <c r="P241" i="2"/>
  <c r="Q241" i="2"/>
  <c r="R241" i="2"/>
  <c r="S241" i="2"/>
  <c r="C242" i="2"/>
  <c r="D242" i="2"/>
  <c r="E242" i="2"/>
  <c r="H242" i="2"/>
  <c r="I242" i="2"/>
  <c r="J242" i="2"/>
  <c r="K242" i="2"/>
  <c r="L242" i="2"/>
  <c r="M242" i="2" s="1"/>
  <c r="N242" i="2"/>
  <c r="P242" i="2"/>
  <c r="Q242" i="2"/>
  <c r="R242" i="2"/>
  <c r="S242" i="2"/>
  <c r="C243" i="2"/>
  <c r="D243" i="2"/>
  <c r="E243" i="2"/>
  <c r="F243" i="2" s="1"/>
  <c r="G243" i="2"/>
  <c r="H243" i="2"/>
  <c r="I243" i="2"/>
  <c r="J243" i="2"/>
  <c r="K243" i="2"/>
  <c r="L243" i="2"/>
  <c r="M243" i="2" s="1"/>
  <c r="N243" i="2"/>
  <c r="P243" i="2"/>
  <c r="Q243" i="2"/>
  <c r="R243" i="2"/>
  <c r="S243" i="2" s="1"/>
  <c r="C244" i="2"/>
  <c r="D244" i="2"/>
  <c r="E244" i="2"/>
  <c r="G244" i="2" s="1"/>
  <c r="F244" i="2"/>
  <c r="H244" i="2"/>
  <c r="I244" i="2"/>
  <c r="J244" i="2"/>
  <c r="K244" i="2"/>
  <c r="L244" i="2"/>
  <c r="M244" i="2" s="1"/>
  <c r="N244" i="2"/>
  <c r="P244" i="2"/>
  <c r="Q244" i="2"/>
  <c r="R244" i="2"/>
  <c r="S244" i="2" s="1"/>
  <c r="C245" i="2"/>
  <c r="D245" i="2"/>
  <c r="E245" i="2"/>
  <c r="F245" i="2" s="1"/>
  <c r="G245" i="2"/>
  <c r="H245" i="2"/>
  <c r="I245" i="2"/>
  <c r="J245" i="2"/>
  <c r="K245" i="2"/>
  <c r="L245" i="2"/>
  <c r="M245" i="2" s="1"/>
  <c r="N245" i="2"/>
  <c r="P245" i="2"/>
  <c r="Q245" i="2"/>
  <c r="R245" i="2"/>
  <c r="S245" i="2" s="1"/>
  <c r="C246" i="2"/>
  <c r="D246" i="2"/>
  <c r="E246" i="2"/>
  <c r="H246" i="2"/>
  <c r="I246" i="2"/>
  <c r="J246" i="2"/>
  <c r="K246" i="2"/>
  <c r="L246" i="2"/>
  <c r="M246" i="2" s="1"/>
  <c r="N246" i="2"/>
  <c r="P246" i="2"/>
  <c r="Q246" i="2"/>
  <c r="R246" i="2"/>
  <c r="S246" i="2" s="1"/>
  <c r="C247" i="2"/>
  <c r="D247" i="2"/>
  <c r="E247" i="2"/>
  <c r="F247" i="2" s="1"/>
  <c r="H247" i="2"/>
  <c r="I247" i="2"/>
  <c r="J247" i="2"/>
  <c r="K247" i="2"/>
  <c r="L247" i="2"/>
  <c r="M247" i="2" s="1"/>
  <c r="N247" i="2"/>
  <c r="P247" i="2"/>
  <c r="Q247" i="2"/>
  <c r="R247" i="2"/>
  <c r="S247" i="2" s="1"/>
  <c r="C248" i="2"/>
  <c r="D248" i="2"/>
  <c r="E248" i="2"/>
  <c r="F248" i="2" s="1"/>
  <c r="G248" i="2"/>
  <c r="O248" i="2" s="1"/>
  <c r="H248" i="2"/>
  <c r="I248" i="2"/>
  <c r="J248" i="2"/>
  <c r="K248" i="2"/>
  <c r="L248" i="2"/>
  <c r="M248" i="2" s="1"/>
  <c r="N248" i="2"/>
  <c r="P248" i="2"/>
  <c r="Q248" i="2"/>
  <c r="R248" i="2"/>
  <c r="S248" i="2" s="1"/>
  <c r="C249" i="2"/>
  <c r="D249" i="2"/>
  <c r="E249" i="2"/>
  <c r="H249" i="2"/>
  <c r="I249" i="2"/>
  <c r="J249" i="2"/>
  <c r="K249" i="2"/>
  <c r="L249" i="2"/>
  <c r="M249" i="2" s="1"/>
  <c r="N249" i="2"/>
  <c r="P249" i="2"/>
  <c r="Q249" i="2"/>
  <c r="R249" i="2"/>
  <c r="S249" i="2" s="1"/>
  <c r="C250" i="2"/>
  <c r="D250" i="2"/>
  <c r="E250" i="2"/>
  <c r="H250" i="2"/>
  <c r="I250" i="2"/>
  <c r="J250" i="2"/>
  <c r="K250" i="2"/>
  <c r="L250" i="2"/>
  <c r="M250" i="2" s="1"/>
  <c r="N250" i="2"/>
  <c r="P250" i="2"/>
  <c r="Q250" i="2"/>
  <c r="R250" i="2"/>
  <c r="S250" i="2" s="1"/>
  <c r="C251" i="2"/>
  <c r="D251" i="2"/>
  <c r="E251" i="2"/>
  <c r="F251" i="2" s="1"/>
  <c r="H251" i="2"/>
  <c r="I251" i="2"/>
  <c r="J251" i="2"/>
  <c r="K251" i="2"/>
  <c r="L251" i="2"/>
  <c r="M251" i="2" s="1"/>
  <c r="N251" i="2"/>
  <c r="P251" i="2"/>
  <c r="Q251" i="2"/>
  <c r="R251" i="2"/>
  <c r="S251" i="2" s="1"/>
  <c r="C252" i="2"/>
  <c r="D252" i="2"/>
  <c r="E252" i="2"/>
  <c r="F252" i="2" s="1"/>
  <c r="G252" i="2"/>
  <c r="H252" i="2"/>
  <c r="I252" i="2"/>
  <c r="J252" i="2"/>
  <c r="K252" i="2"/>
  <c r="L252" i="2"/>
  <c r="M252" i="2" s="1"/>
  <c r="N252" i="2"/>
  <c r="P252" i="2"/>
  <c r="Q252" i="2"/>
  <c r="R252" i="2"/>
  <c r="S252" i="2" s="1"/>
  <c r="C253" i="2"/>
  <c r="D253" i="2"/>
  <c r="E253" i="2"/>
  <c r="F253" i="2" s="1"/>
  <c r="G253" i="2"/>
  <c r="H253" i="2"/>
  <c r="I253" i="2"/>
  <c r="J253" i="2"/>
  <c r="K253" i="2"/>
  <c r="L253" i="2"/>
  <c r="M253" i="2"/>
  <c r="N253" i="2"/>
  <c r="P253" i="2"/>
  <c r="Q253" i="2"/>
  <c r="R253" i="2"/>
  <c r="S253" i="2" s="1"/>
  <c r="C254" i="2"/>
  <c r="D254" i="2"/>
  <c r="E254" i="2"/>
  <c r="H254" i="2"/>
  <c r="I254" i="2"/>
  <c r="J254" i="2"/>
  <c r="K254" i="2"/>
  <c r="L254" i="2"/>
  <c r="M254" i="2" s="1"/>
  <c r="N254" i="2"/>
  <c r="P254" i="2"/>
  <c r="Q254" i="2"/>
  <c r="R254" i="2"/>
  <c r="S254" i="2" s="1"/>
  <c r="C255" i="2"/>
  <c r="D255" i="2"/>
  <c r="E255" i="2"/>
  <c r="F255" i="2" s="1"/>
  <c r="H255" i="2"/>
  <c r="I255" i="2"/>
  <c r="J255" i="2"/>
  <c r="K255" i="2"/>
  <c r="L255" i="2"/>
  <c r="M255" i="2" s="1"/>
  <c r="N255" i="2"/>
  <c r="P255" i="2"/>
  <c r="Q255" i="2"/>
  <c r="R255" i="2"/>
  <c r="S255" i="2" s="1"/>
  <c r="C256" i="2"/>
  <c r="D256" i="2"/>
  <c r="E256" i="2"/>
  <c r="H256" i="2"/>
  <c r="I256" i="2"/>
  <c r="J256" i="2"/>
  <c r="K256" i="2"/>
  <c r="L256" i="2"/>
  <c r="M256" i="2" s="1"/>
  <c r="N256" i="2"/>
  <c r="P256" i="2"/>
  <c r="Q256" i="2"/>
  <c r="R256" i="2"/>
  <c r="S256" i="2" s="1"/>
  <c r="C257" i="2"/>
  <c r="D257" i="2"/>
  <c r="E257" i="2"/>
  <c r="H257" i="2"/>
  <c r="I257" i="2"/>
  <c r="J257" i="2"/>
  <c r="K257" i="2"/>
  <c r="L257" i="2"/>
  <c r="M257" i="2" s="1"/>
  <c r="N257" i="2"/>
  <c r="P257" i="2"/>
  <c r="Q257" i="2"/>
  <c r="R257" i="2"/>
  <c r="S257" i="2" s="1"/>
  <c r="C258" i="2"/>
  <c r="D258" i="2"/>
  <c r="E258" i="2"/>
  <c r="H258" i="2"/>
  <c r="I258" i="2"/>
  <c r="J258" i="2"/>
  <c r="K258" i="2"/>
  <c r="L258" i="2"/>
  <c r="M258" i="2" s="1"/>
  <c r="N258" i="2"/>
  <c r="P258" i="2"/>
  <c r="Q258" i="2"/>
  <c r="R258" i="2"/>
  <c r="S258" i="2" s="1"/>
  <c r="C259" i="2"/>
  <c r="D259" i="2"/>
  <c r="E259" i="2"/>
  <c r="F259" i="2" s="1"/>
  <c r="H259" i="2"/>
  <c r="I259" i="2"/>
  <c r="J259" i="2"/>
  <c r="K259" i="2"/>
  <c r="L259" i="2"/>
  <c r="M259" i="2" s="1"/>
  <c r="N259" i="2"/>
  <c r="P259" i="2"/>
  <c r="Q259" i="2"/>
  <c r="R259" i="2"/>
  <c r="S259" i="2"/>
  <c r="C260" i="2"/>
  <c r="D260" i="2"/>
  <c r="E260" i="2"/>
  <c r="F260" i="2"/>
  <c r="G260" i="2"/>
  <c r="O260" i="2" s="1"/>
  <c r="H260" i="2"/>
  <c r="I260" i="2"/>
  <c r="J260" i="2"/>
  <c r="K260" i="2"/>
  <c r="L260" i="2"/>
  <c r="M260" i="2" s="1"/>
  <c r="N260" i="2"/>
  <c r="P260" i="2"/>
  <c r="Q260" i="2"/>
  <c r="R260" i="2"/>
  <c r="S260" i="2" s="1"/>
  <c r="C261" i="2"/>
  <c r="D261" i="2"/>
  <c r="E261" i="2"/>
  <c r="F261" i="2" s="1"/>
  <c r="H261" i="2"/>
  <c r="I261" i="2"/>
  <c r="J261" i="2"/>
  <c r="K261" i="2"/>
  <c r="L261" i="2"/>
  <c r="M261" i="2" s="1"/>
  <c r="N261" i="2"/>
  <c r="P261" i="2"/>
  <c r="Q261" i="2"/>
  <c r="R261" i="2"/>
  <c r="S261" i="2" s="1"/>
  <c r="C262" i="2"/>
  <c r="D262" i="2"/>
  <c r="E262" i="2"/>
  <c r="H262" i="2"/>
  <c r="I262" i="2"/>
  <c r="J262" i="2"/>
  <c r="K262" i="2"/>
  <c r="L262" i="2"/>
  <c r="M262" i="2" s="1"/>
  <c r="N262" i="2"/>
  <c r="P262" i="2"/>
  <c r="Q262" i="2"/>
  <c r="R262" i="2"/>
  <c r="S262" i="2" s="1"/>
  <c r="C263" i="2"/>
  <c r="D263" i="2"/>
  <c r="E263" i="2"/>
  <c r="F263" i="2" s="1"/>
  <c r="H263" i="2"/>
  <c r="I263" i="2"/>
  <c r="J263" i="2"/>
  <c r="K263" i="2"/>
  <c r="L263" i="2"/>
  <c r="M263" i="2" s="1"/>
  <c r="N263" i="2"/>
  <c r="P263" i="2"/>
  <c r="Q263" i="2"/>
  <c r="R263" i="2"/>
  <c r="S263" i="2"/>
  <c r="C264" i="2"/>
  <c r="D264" i="2"/>
  <c r="E264" i="2"/>
  <c r="G264" i="2" s="1"/>
  <c r="O264" i="2" s="1"/>
  <c r="F264" i="2"/>
  <c r="H264" i="2"/>
  <c r="I264" i="2"/>
  <c r="J264" i="2"/>
  <c r="K264" i="2"/>
  <c r="L264" i="2"/>
  <c r="M264" i="2" s="1"/>
  <c r="N264" i="2"/>
  <c r="P264" i="2"/>
  <c r="Q264" i="2"/>
  <c r="R264" i="2"/>
  <c r="S264" i="2"/>
  <c r="C265" i="2"/>
  <c r="D265" i="2"/>
  <c r="E265" i="2"/>
  <c r="F265" i="2"/>
  <c r="G265" i="2"/>
  <c r="H265" i="2"/>
  <c r="I265" i="2"/>
  <c r="J265" i="2"/>
  <c r="K265" i="2"/>
  <c r="L265" i="2"/>
  <c r="M265" i="2" s="1"/>
  <c r="N265" i="2"/>
  <c r="P265" i="2"/>
  <c r="Q265" i="2"/>
  <c r="R265" i="2"/>
  <c r="S265" i="2" s="1"/>
  <c r="C266" i="2"/>
  <c r="D266" i="2"/>
  <c r="E266" i="2"/>
  <c r="H266" i="2"/>
  <c r="I266" i="2"/>
  <c r="J266" i="2"/>
  <c r="K266" i="2"/>
  <c r="L266" i="2"/>
  <c r="M266" i="2"/>
  <c r="N266" i="2"/>
  <c r="P266" i="2"/>
  <c r="Q266" i="2"/>
  <c r="R266" i="2"/>
  <c r="S266" i="2" s="1"/>
  <c r="C267" i="2"/>
  <c r="D267" i="2"/>
  <c r="E267" i="2"/>
  <c r="F267" i="2" s="1"/>
  <c r="H267" i="2"/>
  <c r="I267" i="2"/>
  <c r="J267" i="2"/>
  <c r="K267" i="2"/>
  <c r="L267" i="2"/>
  <c r="M267" i="2" s="1"/>
  <c r="N267" i="2"/>
  <c r="P267" i="2"/>
  <c r="Q267" i="2"/>
  <c r="R267" i="2"/>
  <c r="S267" i="2"/>
  <c r="C268" i="2"/>
  <c r="D268" i="2"/>
  <c r="E268" i="2"/>
  <c r="G268" i="2" s="1"/>
  <c r="O268" i="2" s="1"/>
  <c r="F268" i="2"/>
  <c r="H268" i="2"/>
  <c r="I268" i="2"/>
  <c r="J268" i="2"/>
  <c r="K268" i="2"/>
  <c r="L268" i="2"/>
  <c r="M268" i="2" s="1"/>
  <c r="N268" i="2"/>
  <c r="P268" i="2"/>
  <c r="Q268" i="2"/>
  <c r="R268" i="2"/>
  <c r="S268" i="2" s="1"/>
  <c r="C269" i="2"/>
  <c r="D269" i="2"/>
  <c r="E269" i="2"/>
  <c r="G269" i="2" s="1"/>
  <c r="F269" i="2"/>
  <c r="H269" i="2"/>
  <c r="I269" i="2"/>
  <c r="J269" i="2"/>
  <c r="K269" i="2"/>
  <c r="L269" i="2"/>
  <c r="M269" i="2"/>
  <c r="N269" i="2"/>
  <c r="P269" i="2"/>
  <c r="Q269" i="2"/>
  <c r="R269" i="2"/>
  <c r="S269" i="2" s="1"/>
  <c r="C270" i="2"/>
  <c r="D270" i="2"/>
  <c r="E270" i="2"/>
  <c r="H270" i="2"/>
  <c r="I270" i="2"/>
  <c r="J270" i="2"/>
  <c r="K270" i="2"/>
  <c r="L270" i="2"/>
  <c r="M270" i="2" s="1"/>
  <c r="N270" i="2"/>
  <c r="P270" i="2"/>
  <c r="Q270" i="2"/>
  <c r="R270" i="2"/>
  <c r="S270" i="2" s="1"/>
  <c r="C271" i="2"/>
  <c r="D271" i="2"/>
  <c r="E271" i="2"/>
  <c r="F271" i="2" s="1"/>
  <c r="H271" i="2"/>
  <c r="I271" i="2"/>
  <c r="J271" i="2"/>
  <c r="K271" i="2"/>
  <c r="L271" i="2"/>
  <c r="M271" i="2" s="1"/>
  <c r="N271" i="2"/>
  <c r="P271" i="2"/>
  <c r="Q271" i="2"/>
  <c r="R271" i="2"/>
  <c r="S271" i="2" s="1"/>
  <c r="C272" i="2"/>
  <c r="D272" i="2"/>
  <c r="E272" i="2"/>
  <c r="H272" i="2"/>
  <c r="I272" i="2"/>
  <c r="J272" i="2"/>
  <c r="K272" i="2"/>
  <c r="L272" i="2"/>
  <c r="M272" i="2" s="1"/>
  <c r="N272" i="2"/>
  <c r="P272" i="2"/>
  <c r="Q272" i="2"/>
  <c r="R272" i="2"/>
  <c r="S272" i="2" s="1"/>
  <c r="C273" i="2"/>
  <c r="D273" i="2"/>
  <c r="E273" i="2"/>
  <c r="G273" i="2" s="1"/>
  <c r="H273" i="2"/>
  <c r="I273" i="2"/>
  <c r="J273" i="2"/>
  <c r="K273" i="2"/>
  <c r="L273" i="2"/>
  <c r="M273" i="2"/>
  <c r="N273" i="2"/>
  <c r="P273" i="2"/>
  <c r="Q273" i="2"/>
  <c r="R273" i="2"/>
  <c r="S273" i="2" s="1"/>
  <c r="C274" i="2"/>
  <c r="D274" i="2"/>
  <c r="E274" i="2"/>
  <c r="H274" i="2"/>
  <c r="I274" i="2"/>
  <c r="J274" i="2"/>
  <c r="K274" i="2"/>
  <c r="L274" i="2"/>
  <c r="M274" i="2" s="1"/>
  <c r="N274" i="2"/>
  <c r="P274" i="2"/>
  <c r="Q274" i="2"/>
  <c r="R274" i="2"/>
  <c r="S274" i="2" s="1"/>
  <c r="C275" i="2"/>
  <c r="D275" i="2"/>
  <c r="E275" i="2"/>
  <c r="F275" i="2" s="1"/>
  <c r="H275" i="2"/>
  <c r="I275" i="2"/>
  <c r="J275" i="2"/>
  <c r="K275" i="2"/>
  <c r="L275" i="2"/>
  <c r="M275" i="2" s="1"/>
  <c r="N275" i="2"/>
  <c r="P275" i="2"/>
  <c r="Q275" i="2"/>
  <c r="R275" i="2"/>
  <c r="S275" i="2" s="1"/>
  <c r="C276" i="2"/>
  <c r="D276" i="2"/>
  <c r="E276" i="2"/>
  <c r="H276" i="2"/>
  <c r="I276" i="2"/>
  <c r="J276" i="2"/>
  <c r="K276" i="2"/>
  <c r="L276" i="2"/>
  <c r="M276" i="2" s="1"/>
  <c r="N276" i="2"/>
  <c r="P276" i="2"/>
  <c r="Q276" i="2"/>
  <c r="R276" i="2"/>
  <c r="S276" i="2" s="1"/>
  <c r="C277" i="2"/>
  <c r="D277" i="2"/>
  <c r="E277" i="2"/>
  <c r="H277" i="2"/>
  <c r="I277" i="2"/>
  <c r="J277" i="2"/>
  <c r="K277" i="2"/>
  <c r="L277" i="2"/>
  <c r="M277" i="2"/>
  <c r="N277" i="2"/>
  <c r="P277" i="2"/>
  <c r="Q277" i="2"/>
  <c r="R277" i="2"/>
  <c r="S277" i="2" s="1"/>
  <c r="C278" i="2"/>
  <c r="D278" i="2"/>
  <c r="E278" i="2"/>
  <c r="H278" i="2"/>
  <c r="I278" i="2"/>
  <c r="J278" i="2"/>
  <c r="K278" i="2"/>
  <c r="L278" i="2"/>
  <c r="M278" i="2" s="1"/>
  <c r="N278" i="2"/>
  <c r="P278" i="2"/>
  <c r="Q278" i="2"/>
  <c r="R278" i="2"/>
  <c r="S278" i="2" s="1"/>
  <c r="C279" i="2"/>
  <c r="D279" i="2"/>
  <c r="E279" i="2"/>
  <c r="F279" i="2" s="1"/>
  <c r="H279" i="2"/>
  <c r="I279" i="2"/>
  <c r="J279" i="2"/>
  <c r="K279" i="2"/>
  <c r="L279" i="2"/>
  <c r="M279" i="2" s="1"/>
  <c r="N279" i="2"/>
  <c r="P279" i="2"/>
  <c r="Q279" i="2"/>
  <c r="R279" i="2"/>
  <c r="S279" i="2" s="1"/>
  <c r="C280" i="2"/>
  <c r="D280" i="2"/>
  <c r="E280" i="2"/>
  <c r="F280" i="2" s="1"/>
  <c r="G280" i="2"/>
  <c r="O280" i="2" s="1"/>
  <c r="H280" i="2"/>
  <c r="I280" i="2"/>
  <c r="J280" i="2"/>
  <c r="K280" i="2"/>
  <c r="L280" i="2"/>
  <c r="M280" i="2" s="1"/>
  <c r="N280" i="2"/>
  <c r="P280" i="2"/>
  <c r="Q280" i="2"/>
  <c r="R280" i="2"/>
  <c r="S280" i="2" s="1"/>
  <c r="C281" i="2"/>
  <c r="D281" i="2"/>
  <c r="E281" i="2"/>
  <c r="H281" i="2"/>
  <c r="I281" i="2"/>
  <c r="J281" i="2"/>
  <c r="K281" i="2"/>
  <c r="L281" i="2"/>
  <c r="M281" i="2" s="1"/>
  <c r="N281" i="2"/>
  <c r="P281" i="2"/>
  <c r="Q281" i="2"/>
  <c r="R281" i="2"/>
  <c r="S281" i="2" s="1"/>
  <c r="C282" i="2"/>
  <c r="D282" i="2"/>
  <c r="E282" i="2"/>
  <c r="H282" i="2"/>
  <c r="I282" i="2"/>
  <c r="J282" i="2"/>
  <c r="K282" i="2"/>
  <c r="L282" i="2"/>
  <c r="M282" i="2" s="1"/>
  <c r="N282" i="2"/>
  <c r="P282" i="2"/>
  <c r="Q282" i="2"/>
  <c r="R282" i="2"/>
  <c r="S282" i="2" s="1"/>
  <c r="C283" i="2"/>
  <c r="D283" i="2"/>
  <c r="E283" i="2"/>
  <c r="F283" i="2" s="1"/>
  <c r="H283" i="2"/>
  <c r="I283" i="2"/>
  <c r="J283" i="2"/>
  <c r="K283" i="2"/>
  <c r="L283" i="2"/>
  <c r="M283" i="2" s="1"/>
  <c r="N283" i="2"/>
  <c r="P283" i="2"/>
  <c r="Q283" i="2"/>
  <c r="R283" i="2"/>
  <c r="S283" i="2"/>
  <c r="C284" i="2"/>
  <c r="D284" i="2"/>
  <c r="E284" i="2"/>
  <c r="F284" i="2"/>
  <c r="G284" i="2"/>
  <c r="O284" i="2" s="1"/>
  <c r="H284" i="2"/>
  <c r="I284" i="2"/>
  <c r="J284" i="2"/>
  <c r="K284" i="2"/>
  <c r="L284" i="2"/>
  <c r="M284" i="2" s="1"/>
  <c r="N284" i="2"/>
  <c r="P284" i="2"/>
  <c r="Q284" i="2"/>
  <c r="R284" i="2"/>
  <c r="S284" i="2" s="1"/>
  <c r="C285" i="2"/>
  <c r="D285" i="2"/>
  <c r="E285" i="2"/>
  <c r="F285" i="2"/>
  <c r="G285" i="2"/>
  <c r="H285" i="2"/>
  <c r="I285" i="2"/>
  <c r="J285" i="2"/>
  <c r="K285" i="2"/>
  <c r="L285" i="2"/>
  <c r="M285" i="2" s="1"/>
  <c r="N285" i="2"/>
  <c r="P285" i="2"/>
  <c r="Q285" i="2"/>
  <c r="R285" i="2"/>
  <c r="S285" i="2" s="1"/>
  <c r="C286" i="2"/>
  <c r="D286" i="2"/>
  <c r="E286" i="2"/>
  <c r="H286" i="2"/>
  <c r="I286" i="2"/>
  <c r="J286" i="2"/>
  <c r="K286" i="2"/>
  <c r="L286" i="2"/>
  <c r="M286" i="2" s="1"/>
  <c r="N286" i="2"/>
  <c r="P286" i="2"/>
  <c r="Q286" i="2"/>
  <c r="R286" i="2"/>
  <c r="S286" i="2" s="1"/>
  <c r="C287" i="2"/>
  <c r="D287" i="2"/>
  <c r="E287" i="2"/>
  <c r="F287" i="2" s="1"/>
  <c r="H287" i="2"/>
  <c r="I287" i="2"/>
  <c r="J287" i="2"/>
  <c r="K287" i="2"/>
  <c r="L287" i="2"/>
  <c r="M287" i="2" s="1"/>
  <c r="N287" i="2"/>
  <c r="P287" i="2"/>
  <c r="Q287" i="2"/>
  <c r="R287" i="2"/>
  <c r="S287" i="2" s="1"/>
  <c r="C288" i="2"/>
  <c r="D288" i="2"/>
  <c r="E288" i="2"/>
  <c r="G288" i="2" s="1"/>
  <c r="H288" i="2"/>
  <c r="I288" i="2"/>
  <c r="J288" i="2"/>
  <c r="K288" i="2"/>
  <c r="L288" i="2"/>
  <c r="M288" i="2" s="1"/>
  <c r="N288" i="2"/>
  <c r="P288" i="2"/>
  <c r="Q288" i="2"/>
  <c r="R288" i="2"/>
  <c r="S288" i="2"/>
  <c r="C289" i="2"/>
  <c r="D289" i="2"/>
  <c r="E289" i="2"/>
  <c r="F289" i="2"/>
  <c r="G289" i="2"/>
  <c r="H289" i="2"/>
  <c r="I289" i="2"/>
  <c r="J289" i="2"/>
  <c r="K289" i="2"/>
  <c r="L289" i="2"/>
  <c r="M289" i="2" s="1"/>
  <c r="N289" i="2"/>
  <c r="P289" i="2"/>
  <c r="Q289" i="2"/>
  <c r="R289" i="2"/>
  <c r="S289" i="2" s="1"/>
  <c r="C290" i="2"/>
  <c r="D290" i="2"/>
  <c r="E290" i="2"/>
  <c r="H290" i="2"/>
  <c r="I290" i="2"/>
  <c r="J290" i="2"/>
  <c r="K290" i="2"/>
  <c r="L290" i="2"/>
  <c r="M290" i="2" s="1"/>
  <c r="N290" i="2"/>
  <c r="P290" i="2"/>
  <c r="Q290" i="2"/>
  <c r="R290" i="2"/>
  <c r="S290" i="2" s="1"/>
  <c r="C291" i="2"/>
  <c r="D291" i="2"/>
  <c r="E291" i="2"/>
  <c r="F291" i="2" s="1"/>
  <c r="H291" i="2"/>
  <c r="I291" i="2"/>
  <c r="J291" i="2"/>
  <c r="K291" i="2"/>
  <c r="L291" i="2"/>
  <c r="M291" i="2" s="1"/>
  <c r="N291" i="2"/>
  <c r="P291" i="2"/>
  <c r="Q291" i="2"/>
  <c r="R291" i="2"/>
  <c r="S291" i="2"/>
  <c r="C292" i="2"/>
  <c r="D292" i="2"/>
  <c r="E292" i="2"/>
  <c r="G292" i="2" s="1"/>
  <c r="O292" i="2" s="1"/>
  <c r="H292" i="2"/>
  <c r="I292" i="2"/>
  <c r="J292" i="2"/>
  <c r="K292" i="2"/>
  <c r="L292" i="2"/>
  <c r="M292" i="2" s="1"/>
  <c r="N292" i="2"/>
  <c r="P292" i="2"/>
  <c r="Q292" i="2"/>
  <c r="R292" i="2"/>
  <c r="S292" i="2" s="1"/>
  <c r="C293" i="2"/>
  <c r="D293" i="2"/>
  <c r="E293" i="2"/>
  <c r="G293" i="2" s="1"/>
  <c r="H293" i="2"/>
  <c r="I293" i="2"/>
  <c r="J293" i="2"/>
  <c r="K293" i="2"/>
  <c r="L293" i="2"/>
  <c r="M293" i="2"/>
  <c r="N293" i="2"/>
  <c r="P293" i="2"/>
  <c r="Q293" i="2"/>
  <c r="R293" i="2"/>
  <c r="S293" i="2" s="1"/>
  <c r="C294" i="2"/>
  <c r="D294" i="2"/>
  <c r="E294" i="2"/>
  <c r="H294" i="2"/>
  <c r="I294" i="2"/>
  <c r="J294" i="2"/>
  <c r="K294" i="2"/>
  <c r="L294" i="2"/>
  <c r="M294" i="2" s="1"/>
  <c r="N294" i="2"/>
  <c r="P294" i="2"/>
  <c r="Q294" i="2"/>
  <c r="R294" i="2"/>
  <c r="S294" i="2" s="1"/>
  <c r="C295" i="2"/>
  <c r="D295" i="2"/>
  <c r="E295" i="2"/>
  <c r="F295" i="2" s="1"/>
  <c r="H295" i="2"/>
  <c r="I295" i="2"/>
  <c r="J295" i="2"/>
  <c r="K295" i="2"/>
  <c r="L295" i="2"/>
  <c r="M295" i="2" s="1"/>
  <c r="N295" i="2"/>
  <c r="P295" i="2"/>
  <c r="Q295" i="2"/>
  <c r="R295" i="2"/>
  <c r="S295" i="2" s="1"/>
  <c r="C296" i="2"/>
  <c r="D296" i="2"/>
  <c r="E296" i="2"/>
  <c r="H296" i="2"/>
  <c r="I296" i="2"/>
  <c r="J296" i="2"/>
  <c r="K296" i="2"/>
  <c r="L296" i="2"/>
  <c r="M296" i="2" s="1"/>
  <c r="N296" i="2"/>
  <c r="P296" i="2"/>
  <c r="Q296" i="2"/>
  <c r="R296" i="2"/>
  <c r="S296" i="2" s="1"/>
  <c r="C297" i="2"/>
  <c r="D297" i="2"/>
  <c r="E297" i="2"/>
  <c r="H297" i="2"/>
  <c r="I297" i="2"/>
  <c r="J297" i="2"/>
  <c r="K297" i="2"/>
  <c r="L297" i="2"/>
  <c r="M297" i="2"/>
  <c r="N297" i="2"/>
  <c r="P297" i="2"/>
  <c r="Q297" i="2"/>
  <c r="R297" i="2"/>
  <c r="S297" i="2" s="1"/>
  <c r="C298" i="2"/>
  <c r="D298" i="2"/>
  <c r="E298" i="2"/>
  <c r="H298" i="2"/>
  <c r="I298" i="2"/>
  <c r="J298" i="2"/>
  <c r="K298" i="2"/>
  <c r="L298" i="2"/>
  <c r="M298" i="2" s="1"/>
  <c r="N298" i="2"/>
  <c r="P298" i="2"/>
  <c r="Q298" i="2"/>
  <c r="R298" i="2"/>
  <c r="S298" i="2" s="1"/>
  <c r="C299" i="2"/>
  <c r="D299" i="2"/>
  <c r="E299" i="2"/>
  <c r="F299" i="2" s="1"/>
  <c r="H299" i="2"/>
  <c r="I299" i="2"/>
  <c r="J299" i="2"/>
  <c r="K299" i="2"/>
  <c r="L299" i="2"/>
  <c r="M299" i="2" s="1"/>
  <c r="N299" i="2"/>
  <c r="P299" i="2"/>
  <c r="Q299" i="2"/>
  <c r="R299" i="2"/>
  <c r="S299" i="2" s="1"/>
  <c r="C300" i="2"/>
  <c r="D300" i="2"/>
  <c r="E300" i="2"/>
  <c r="H300" i="2"/>
  <c r="I300" i="2"/>
  <c r="J300" i="2"/>
  <c r="K300" i="2"/>
  <c r="L300" i="2"/>
  <c r="M300" i="2" s="1"/>
  <c r="N300" i="2"/>
  <c r="P300" i="2"/>
  <c r="Q300" i="2"/>
  <c r="R300" i="2"/>
  <c r="S300" i="2" s="1"/>
  <c r="C301" i="2"/>
  <c r="D301" i="2"/>
  <c r="E301" i="2"/>
  <c r="F301" i="2" s="1"/>
  <c r="H301" i="2"/>
  <c r="I301" i="2"/>
  <c r="J301" i="2"/>
  <c r="K301" i="2"/>
  <c r="L301" i="2"/>
  <c r="M301" i="2" s="1"/>
  <c r="N301" i="2"/>
  <c r="P301" i="2"/>
  <c r="Q301" i="2"/>
  <c r="R301" i="2"/>
  <c r="S301" i="2" s="1"/>
  <c r="C302" i="2"/>
  <c r="D302" i="2"/>
  <c r="E302" i="2"/>
  <c r="H302" i="2"/>
  <c r="I302" i="2"/>
  <c r="J302" i="2"/>
  <c r="K302" i="2"/>
  <c r="L302" i="2"/>
  <c r="M302" i="2" s="1"/>
  <c r="N302" i="2"/>
  <c r="P302" i="2"/>
  <c r="Q302" i="2"/>
  <c r="R302" i="2"/>
  <c r="S302" i="2" s="1"/>
  <c r="C303" i="2"/>
  <c r="D303" i="2"/>
  <c r="E303" i="2"/>
  <c r="F303" i="2" s="1"/>
  <c r="H303" i="2"/>
  <c r="I303" i="2"/>
  <c r="J303" i="2"/>
  <c r="K303" i="2"/>
  <c r="L303" i="2"/>
  <c r="M303" i="2" s="1"/>
  <c r="N303" i="2"/>
  <c r="P303" i="2"/>
  <c r="Q303" i="2"/>
  <c r="R303" i="2"/>
  <c r="S303" i="2" s="1"/>
  <c r="C304" i="2"/>
  <c r="D304" i="2"/>
  <c r="E304" i="2"/>
  <c r="F304" i="2"/>
  <c r="G304" i="2"/>
  <c r="H304" i="2"/>
  <c r="I304" i="2"/>
  <c r="J304" i="2"/>
  <c r="K304" i="2"/>
  <c r="L304" i="2"/>
  <c r="M304" i="2" s="1"/>
  <c r="N304" i="2"/>
  <c r="P304" i="2"/>
  <c r="Q304" i="2"/>
  <c r="R304" i="2"/>
  <c r="S304" i="2" s="1"/>
  <c r="C305" i="2"/>
  <c r="D305" i="2"/>
  <c r="E305" i="2"/>
  <c r="H305" i="2"/>
  <c r="I305" i="2"/>
  <c r="J305" i="2"/>
  <c r="K305" i="2"/>
  <c r="L305" i="2"/>
  <c r="M305" i="2" s="1"/>
  <c r="N305" i="2"/>
  <c r="P305" i="2"/>
  <c r="Q305" i="2"/>
  <c r="R305" i="2"/>
  <c r="S305" i="2" s="1"/>
  <c r="C306" i="2"/>
  <c r="D306" i="2"/>
  <c r="E306" i="2"/>
  <c r="H306" i="2"/>
  <c r="I306" i="2"/>
  <c r="J306" i="2"/>
  <c r="K306" i="2"/>
  <c r="L306" i="2"/>
  <c r="M306" i="2" s="1"/>
  <c r="N306" i="2"/>
  <c r="P306" i="2"/>
  <c r="Q306" i="2"/>
  <c r="R306" i="2"/>
  <c r="S306" i="2" s="1"/>
  <c r="C307" i="2"/>
  <c r="D307" i="2"/>
  <c r="E307" i="2"/>
  <c r="F307" i="2" s="1"/>
  <c r="H307" i="2"/>
  <c r="I307" i="2"/>
  <c r="J307" i="2"/>
  <c r="K307" i="2"/>
  <c r="L307" i="2"/>
  <c r="M307" i="2" s="1"/>
  <c r="N307" i="2"/>
  <c r="P307" i="2"/>
  <c r="Q307" i="2"/>
  <c r="R307" i="2"/>
  <c r="S307" i="2" s="1"/>
  <c r="C308" i="2"/>
  <c r="D308" i="2"/>
  <c r="E308" i="2"/>
  <c r="H308" i="2"/>
  <c r="I308" i="2"/>
  <c r="J308" i="2"/>
  <c r="K308" i="2"/>
  <c r="L308" i="2"/>
  <c r="M308" i="2" s="1"/>
  <c r="N308" i="2"/>
  <c r="P308" i="2"/>
  <c r="Q308" i="2"/>
  <c r="R308" i="2"/>
  <c r="S308" i="2" s="1"/>
  <c r="C309" i="2"/>
  <c r="D309" i="2"/>
  <c r="E309" i="2"/>
  <c r="H309" i="2"/>
  <c r="I309" i="2"/>
  <c r="J309" i="2"/>
  <c r="K309" i="2"/>
  <c r="L309" i="2"/>
  <c r="M309" i="2" s="1"/>
  <c r="N309" i="2"/>
  <c r="P309" i="2"/>
  <c r="Q309" i="2"/>
  <c r="R309" i="2"/>
  <c r="S309" i="2" s="1"/>
  <c r="C310" i="2"/>
  <c r="D310" i="2"/>
  <c r="E310" i="2"/>
  <c r="H310" i="2"/>
  <c r="I310" i="2"/>
  <c r="J310" i="2"/>
  <c r="K310" i="2"/>
  <c r="L310" i="2"/>
  <c r="M310" i="2" s="1"/>
  <c r="N310" i="2"/>
  <c r="P310" i="2"/>
  <c r="Q310" i="2"/>
  <c r="R310" i="2"/>
  <c r="S310" i="2" s="1"/>
  <c r="C311" i="2"/>
  <c r="D311" i="2"/>
  <c r="E311" i="2"/>
  <c r="F311" i="2" s="1"/>
  <c r="H311" i="2"/>
  <c r="I311" i="2"/>
  <c r="J311" i="2"/>
  <c r="K311" i="2"/>
  <c r="L311" i="2"/>
  <c r="M311" i="2" s="1"/>
  <c r="N311" i="2"/>
  <c r="P311" i="2"/>
  <c r="Q311" i="2"/>
  <c r="R311" i="2"/>
  <c r="S311" i="2"/>
  <c r="C312" i="2"/>
  <c r="D312" i="2"/>
  <c r="E312" i="2"/>
  <c r="F312" i="2" s="1"/>
  <c r="G312" i="2"/>
  <c r="O312" i="2" s="1"/>
  <c r="H312" i="2"/>
  <c r="I312" i="2"/>
  <c r="J312" i="2"/>
  <c r="K312" i="2"/>
  <c r="L312" i="2"/>
  <c r="M312" i="2" s="1"/>
  <c r="N312" i="2"/>
  <c r="P312" i="2"/>
  <c r="Q312" i="2"/>
  <c r="R312" i="2"/>
  <c r="S312" i="2" s="1"/>
  <c r="C313" i="2"/>
  <c r="D313" i="2"/>
  <c r="E313" i="2"/>
  <c r="G313" i="2" s="1"/>
  <c r="F313" i="2"/>
  <c r="H313" i="2"/>
  <c r="I313" i="2"/>
  <c r="J313" i="2"/>
  <c r="K313" i="2"/>
  <c r="L313" i="2"/>
  <c r="M313" i="2" s="1"/>
  <c r="N313" i="2"/>
  <c r="P313" i="2"/>
  <c r="Q313" i="2"/>
  <c r="R313" i="2"/>
  <c r="S313" i="2" s="1"/>
  <c r="C314" i="2"/>
  <c r="D314" i="2"/>
  <c r="E314" i="2"/>
  <c r="H314" i="2"/>
  <c r="I314" i="2"/>
  <c r="J314" i="2"/>
  <c r="K314" i="2"/>
  <c r="L314" i="2"/>
  <c r="M314" i="2" s="1"/>
  <c r="N314" i="2"/>
  <c r="P314" i="2"/>
  <c r="Q314" i="2"/>
  <c r="R314" i="2"/>
  <c r="S314" i="2" s="1"/>
  <c r="C315" i="2"/>
  <c r="D315" i="2"/>
  <c r="E315" i="2"/>
  <c r="H315" i="2"/>
  <c r="I315" i="2"/>
  <c r="J315" i="2"/>
  <c r="K315" i="2"/>
  <c r="L315" i="2"/>
  <c r="M315" i="2" s="1"/>
  <c r="N315" i="2"/>
  <c r="P315" i="2"/>
  <c r="Q315" i="2"/>
  <c r="R315" i="2"/>
  <c r="S315" i="2" s="1"/>
  <c r="C316" i="2"/>
  <c r="D316" i="2"/>
  <c r="E316" i="2"/>
  <c r="G316" i="2" s="1"/>
  <c r="H316" i="2"/>
  <c r="I316" i="2"/>
  <c r="J316" i="2"/>
  <c r="K316" i="2"/>
  <c r="L316" i="2"/>
  <c r="M316" i="2" s="1"/>
  <c r="N316" i="2"/>
  <c r="P316" i="2"/>
  <c r="Q316" i="2"/>
  <c r="R316" i="2"/>
  <c r="S316" i="2" s="1"/>
  <c r="C317" i="2"/>
  <c r="D317" i="2"/>
  <c r="E317" i="2"/>
  <c r="H317" i="2"/>
  <c r="I317" i="2"/>
  <c r="J317" i="2"/>
  <c r="K317" i="2"/>
  <c r="L317" i="2"/>
  <c r="M317" i="2" s="1"/>
  <c r="N317" i="2"/>
  <c r="P317" i="2"/>
  <c r="Q317" i="2"/>
  <c r="R317" i="2"/>
  <c r="S317" i="2" s="1"/>
  <c r="C318" i="2"/>
  <c r="D318" i="2"/>
  <c r="E318" i="2"/>
  <c r="H318" i="2"/>
  <c r="I318" i="2"/>
  <c r="J318" i="2"/>
  <c r="K318" i="2"/>
  <c r="L318" i="2"/>
  <c r="M318" i="2" s="1"/>
  <c r="N318" i="2"/>
  <c r="P318" i="2"/>
  <c r="Q318" i="2"/>
  <c r="R318" i="2"/>
  <c r="S318" i="2" s="1"/>
  <c r="C319" i="2"/>
  <c r="D319" i="2"/>
  <c r="E319" i="2"/>
  <c r="F319" i="2" s="1"/>
  <c r="G319" i="2"/>
  <c r="O319" i="2" s="1"/>
  <c r="H319" i="2"/>
  <c r="I319" i="2"/>
  <c r="J319" i="2"/>
  <c r="K319" i="2"/>
  <c r="L319" i="2"/>
  <c r="M319" i="2" s="1"/>
  <c r="N319" i="2"/>
  <c r="P319" i="2"/>
  <c r="Q319" i="2"/>
  <c r="R319" i="2"/>
  <c r="S319" i="2" s="1"/>
  <c r="C320" i="2"/>
  <c r="D320" i="2"/>
  <c r="E320" i="2"/>
  <c r="F320" i="2" s="1"/>
  <c r="G320" i="2"/>
  <c r="O320" i="2" s="1"/>
  <c r="H320" i="2"/>
  <c r="I320" i="2"/>
  <c r="J320" i="2"/>
  <c r="K320" i="2"/>
  <c r="L320" i="2"/>
  <c r="M320" i="2" s="1"/>
  <c r="N320" i="2"/>
  <c r="P320" i="2"/>
  <c r="Q320" i="2"/>
  <c r="R320" i="2"/>
  <c r="S320" i="2" s="1"/>
  <c r="C321" i="2"/>
  <c r="D321" i="2"/>
  <c r="E321" i="2"/>
  <c r="G321" i="2" s="1"/>
  <c r="H321" i="2"/>
  <c r="I321" i="2"/>
  <c r="J321" i="2"/>
  <c r="K321" i="2"/>
  <c r="L321" i="2"/>
  <c r="M321" i="2" s="1"/>
  <c r="N321" i="2"/>
  <c r="P321" i="2"/>
  <c r="Q321" i="2"/>
  <c r="R321" i="2"/>
  <c r="S321" i="2" s="1"/>
  <c r="C322" i="2"/>
  <c r="D322" i="2"/>
  <c r="E322" i="2"/>
  <c r="H322" i="2"/>
  <c r="I322" i="2"/>
  <c r="J322" i="2"/>
  <c r="K322" i="2"/>
  <c r="L322" i="2"/>
  <c r="M322" i="2" s="1"/>
  <c r="N322" i="2"/>
  <c r="P322" i="2"/>
  <c r="Q322" i="2"/>
  <c r="R322" i="2"/>
  <c r="S322" i="2" s="1"/>
  <c r="C323" i="2"/>
  <c r="D323" i="2"/>
  <c r="E323" i="2"/>
  <c r="H323" i="2"/>
  <c r="I323" i="2"/>
  <c r="J323" i="2"/>
  <c r="K323" i="2"/>
  <c r="L323" i="2"/>
  <c r="M323" i="2" s="1"/>
  <c r="N323" i="2"/>
  <c r="P323" i="2"/>
  <c r="Q323" i="2"/>
  <c r="R323" i="2"/>
  <c r="S323" i="2"/>
  <c r="C324" i="2"/>
  <c r="D324" i="2"/>
  <c r="E324" i="2"/>
  <c r="F324" i="2" s="1"/>
  <c r="H324" i="2"/>
  <c r="I324" i="2"/>
  <c r="J324" i="2"/>
  <c r="K324" i="2"/>
  <c r="L324" i="2"/>
  <c r="M324" i="2" s="1"/>
  <c r="N324" i="2"/>
  <c r="P324" i="2"/>
  <c r="Q324" i="2"/>
  <c r="R324" i="2"/>
  <c r="S324" i="2" s="1"/>
  <c r="C325" i="2"/>
  <c r="D325" i="2"/>
  <c r="E325" i="2"/>
  <c r="H325" i="2"/>
  <c r="I325" i="2"/>
  <c r="J325" i="2"/>
  <c r="K325" i="2"/>
  <c r="L325" i="2"/>
  <c r="M325" i="2" s="1"/>
  <c r="N325" i="2"/>
  <c r="P325" i="2"/>
  <c r="Q325" i="2"/>
  <c r="R325" i="2"/>
  <c r="S325" i="2" s="1"/>
  <c r="C326" i="2"/>
  <c r="D326" i="2"/>
  <c r="E326" i="2"/>
  <c r="H326" i="2"/>
  <c r="I326" i="2"/>
  <c r="J326" i="2"/>
  <c r="K326" i="2"/>
  <c r="L326" i="2"/>
  <c r="M326" i="2" s="1"/>
  <c r="N326" i="2"/>
  <c r="P326" i="2"/>
  <c r="Q326" i="2"/>
  <c r="R326" i="2"/>
  <c r="S326" i="2" s="1"/>
  <c r="C327" i="2"/>
  <c r="D327" i="2"/>
  <c r="E327" i="2"/>
  <c r="F327" i="2" s="1"/>
  <c r="H327" i="2"/>
  <c r="I327" i="2"/>
  <c r="J327" i="2"/>
  <c r="K327" i="2"/>
  <c r="L327" i="2"/>
  <c r="M327" i="2" s="1"/>
  <c r="N327" i="2"/>
  <c r="P327" i="2"/>
  <c r="Q327" i="2"/>
  <c r="R327" i="2"/>
  <c r="S327" i="2" s="1"/>
  <c r="C328" i="2"/>
  <c r="D328" i="2"/>
  <c r="E328" i="2"/>
  <c r="H328" i="2"/>
  <c r="I328" i="2"/>
  <c r="J328" i="2"/>
  <c r="K328" i="2"/>
  <c r="L328" i="2"/>
  <c r="M328" i="2" s="1"/>
  <c r="N328" i="2"/>
  <c r="P328" i="2"/>
  <c r="Q328" i="2"/>
  <c r="R328" i="2"/>
  <c r="S328" i="2" s="1"/>
  <c r="C329" i="2"/>
  <c r="D329" i="2"/>
  <c r="E329" i="2"/>
  <c r="H329" i="2"/>
  <c r="I329" i="2"/>
  <c r="J329" i="2"/>
  <c r="K329" i="2"/>
  <c r="L329" i="2"/>
  <c r="M329" i="2" s="1"/>
  <c r="N329" i="2"/>
  <c r="P329" i="2"/>
  <c r="Q329" i="2"/>
  <c r="R329" i="2"/>
  <c r="S329" i="2" s="1"/>
  <c r="C330" i="2"/>
  <c r="D330" i="2"/>
  <c r="E330" i="2"/>
  <c r="H330" i="2"/>
  <c r="I330" i="2"/>
  <c r="J330" i="2"/>
  <c r="K330" i="2"/>
  <c r="L330" i="2"/>
  <c r="M330" i="2" s="1"/>
  <c r="N330" i="2"/>
  <c r="P330" i="2"/>
  <c r="Q330" i="2"/>
  <c r="R330" i="2"/>
  <c r="S330" i="2" s="1"/>
  <c r="C331" i="2"/>
  <c r="D331" i="2"/>
  <c r="E331" i="2"/>
  <c r="F331" i="2" s="1"/>
  <c r="H331" i="2"/>
  <c r="I331" i="2"/>
  <c r="J331" i="2"/>
  <c r="K331" i="2"/>
  <c r="L331" i="2"/>
  <c r="M331" i="2" s="1"/>
  <c r="N331" i="2"/>
  <c r="P331" i="2"/>
  <c r="Q331" i="2"/>
  <c r="R331" i="2"/>
  <c r="S331" i="2" s="1"/>
  <c r="C332" i="2"/>
  <c r="D332" i="2"/>
  <c r="E332" i="2"/>
  <c r="F332" i="2" s="1"/>
  <c r="G332" i="2"/>
  <c r="H332" i="2"/>
  <c r="I332" i="2"/>
  <c r="J332" i="2"/>
  <c r="K332" i="2"/>
  <c r="L332" i="2"/>
  <c r="M332" i="2" s="1"/>
  <c r="N332" i="2"/>
  <c r="P332" i="2"/>
  <c r="Q332" i="2"/>
  <c r="R332" i="2"/>
  <c r="S332" i="2" s="1"/>
  <c r="C333" i="2"/>
  <c r="D333" i="2"/>
  <c r="E333" i="2"/>
  <c r="H333" i="2"/>
  <c r="I333" i="2"/>
  <c r="J333" i="2"/>
  <c r="K333" i="2"/>
  <c r="L333" i="2"/>
  <c r="M333" i="2" s="1"/>
  <c r="N333" i="2"/>
  <c r="P333" i="2"/>
  <c r="Q333" i="2"/>
  <c r="R333" i="2"/>
  <c r="S333" i="2" s="1"/>
  <c r="C334" i="2"/>
  <c r="D334" i="2"/>
  <c r="E334" i="2"/>
  <c r="H334" i="2"/>
  <c r="I334" i="2"/>
  <c r="J334" i="2"/>
  <c r="K334" i="2"/>
  <c r="L334" i="2"/>
  <c r="M334" i="2" s="1"/>
  <c r="N334" i="2"/>
  <c r="P334" i="2"/>
  <c r="Q334" i="2"/>
  <c r="R334" i="2"/>
  <c r="S334" i="2" s="1"/>
  <c r="C335" i="2"/>
  <c r="D335" i="2"/>
  <c r="E335" i="2"/>
  <c r="H335" i="2"/>
  <c r="I335" i="2"/>
  <c r="J335" i="2"/>
  <c r="K335" i="2"/>
  <c r="L335" i="2"/>
  <c r="M335" i="2" s="1"/>
  <c r="N335" i="2"/>
  <c r="P335" i="2"/>
  <c r="Q335" i="2"/>
  <c r="R335" i="2"/>
  <c r="S335" i="2"/>
  <c r="C336" i="2"/>
  <c r="D336" i="2"/>
  <c r="E336" i="2"/>
  <c r="H336" i="2"/>
  <c r="I336" i="2"/>
  <c r="J336" i="2"/>
  <c r="K336" i="2"/>
  <c r="L336" i="2"/>
  <c r="M336" i="2" s="1"/>
  <c r="N336" i="2"/>
  <c r="P336" i="2"/>
  <c r="Q336" i="2"/>
  <c r="R336" i="2"/>
  <c r="S336" i="2" s="1"/>
  <c r="C337" i="2"/>
  <c r="D337" i="2"/>
  <c r="E337" i="2"/>
  <c r="G337" i="2" s="1"/>
  <c r="H337" i="2"/>
  <c r="I337" i="2"/>
  <c r="J337" i="2"/>
  <c r="K337" i="2"/>
  <c r="L337" i="2"/>
  <c r="M337" i="2" s="1"/>
  <c r="N337" i="2"/>
  <c r="P337" i="2"/>
  <c r="Q337" i="2"/>
  <c r="R337" i="2"/>
  <c r="S337" i="2" s="1"/>
  <c r="C338" i="2"/>
  <c r="D338" i="2"/>
  <c r="E338" i="2"/>
  <c r="H338" i="2"/>
  <c r="I338" i="2"/>
  <c r="J338" i="2"/>
  <c r="K338" i="2"/>
  <c r="L338" i="2"/>
  <c r="M338" i="2" s="1"/>
  <c r="N338" i="2"/>
  <c r="P338" i="2"/>
  <c r="Q338" i="2"/>
  <c r="R338" i="2"/>
  <c r="S338" i="2" s="1"/>
  <c r="C339" i="2"/>
  <c r="D339" i="2"/>
  <c r="E339" i="2"/>
  <c r="F339" i="2" s="1"/>
  <c r="H339" i="2"/>
  <c r="I339" i="2"/>
  <c r="J339" i="2"/>
  <c r="K339" i="2"/>
  <c r="L339" i="2"/>
  <c r="M339" i="2" s="1"/>
  <c r="N339" i="2"/>
  <c r="P339" i="2"/>
  <c r="Q339" i="2"/>
  <c r="R339" i="2"/>
  <c r="S339" i="2" s="1"/>
  <c r="C340" i="2"/>
  <c r="D340" i="2"/>
  <c r="E340" i="2"/>
  <c r="H340" i="2"/>
  <c r="I340" i="2"/>
  <c r="J340" i="2"/>
  <c r="K340" i="2"/>
  <c r="L340" i="2"/>
  <c r="M340" i="2" s="1"/>
  <c r="N340" i="2"/>
  <c r="P340" i="2"/>
  <c r="Q340" i="2"/>
  <c r="R340" i="2"/>
  <c r="S340" i="2" s="1"/>
  <c r="C341" i="2"/>
  <c r="D341" i="2"/>
  <c r="E341" i="2"/>
  <c r="H341" i="2"/>
  <c r="I341" i="2"/>
  <c r="J341" i="2"/>
  <c r="K341" i="2"/>
  <c r="L341" i="2"/>
  <c r="M341" i="2" s="1"/>
  <c r="N341" i="2"/>
  <c r="P341" i="2"/>
  <c r="Q341" i="2"/>
  <c r="R341" i="2"/>
  <c r="S341" i="2" s="1"/>
  <c r="C342" i="2"/>
  <c r="D342" i="2"/>
  <c r="E342" i="2"/>
  <c r="H342" i="2"/>
  <c r="I342" i="2"/>
  <c r="J342" i="2"/>
  <c r="K342" i="2"/>
  <c r="L342" i="2"/>
  <c r="M342" i="2" s="1"/>
  <c r="N342" i="2"/>
  <c r="P342" i="2"/>
  <c r="Q342" i="2"/>
  <c r="R342" i="2"/>
  <c r="S342" i="2" s="1"/>
  <c r="C343" i="2"/>
  <c r="D343" i="2"/>
  <c r="E343" i="2"/>
  <c r="F343" i="2" s="1"/>
  <c r="H343" i="2"/>
  <c r="I343" i="2"/>
  <c r="J343" i="2"/>
  <c r="K343" i="2"/>
  <c r="L343" i="2"/>
  <c r="M343" i="2" s="1"/>
  <c r="N343" i="2"/>
  <c r="P343" i="2"/>
  <c r="Q343" i="2"/>
  <c r="R343" i="2"/>
  <c r="S343" i="2"/>
  <c r="C344" i="2"/>
  <c r="D344" i="2"/>
  <c r="E344" i="2"/>
  <c r="F344" i="2"/>
  <c r="G344" i="2"/>
  <c r="O344" i="2" s="1"/>
  <c r="H344" i="2"/>
  <c r="I344" i="2"/>
  <c r="J344" i="2"/>
  <c r="K344" i="2"/>
  <c r="L344" i="2"/>
  <c r="M344" i="2" s="1"/>
  <c r="N344" i="2"/>
  <c r="P344" i="2"/>
  <c r="Q344" i="2"/>
  <c r="R344" i="2"/>
  <c r="S344" i="2"/>
  <c r="C345" i="2"/>
  <c r="D345" i="2"/>
  <c r="E345" i="2"/>
  <c r="G345" i="2" s="1"/>
  <c r="H345" i="2"/>
  <c r="I345" i="2"/>
  <c r="J345" i="2"/>
  <c r="K345" i="2"/>
  <c r="L345" i="2"/>
  <c r="M345" i="2" s="1"/>
  <c r="N345" i="2"/>
  <c r="P345" i="2"/>
  <c r="Q345" i="2"/>
  <c r="R345" i="2"/>
  <c r="S345" i="2" s="1"/>
  <c r="C346" i="2"/>
  <c r="D346" i="2"/>
  <c r="E346" i="2"/>
  <c r="H346" i="2"/>
  <c r="I346" i="2"/>
  <c r="J346" i="2"/>
  <c r="K346" i="2"/>
  <c r="L346" i="2"/>
  <c r="M346" i="2" s="1"/>
  <c r="N346" i="2"/>
  <c r="P346" i="2"/>
  <c r="Q346" i="2"/>
  <c r="R346" i="2"/>
  <c r="S346" i="2" s="1"/>
  <c r="C347" i="2"/>
  <c r="D347" i="2"/>
  <c r="E347" i="2"/>
  <c r="H347" i="2"/>
  <c r="I347" i="2"/>
  <c r="J347" i="2"/>
  <c r="K347" i="2"/>
  <c r="L347" i="2"/>
  <c r="M347" i="2" s="1"/>
  <c r="N347" i="2"/>
  <c r="P347" i="2"/>
  <c r="Q347" i="2"/>
  <c r="R347" i="2"/>
  <c r="S347" i="2" s="1"/>
  <c r="C348" i="2"/>
  <c r="D348" i="2"/>
  <c r="E348" i="2"/>
  <c r="G348" i="2" s="1"/>
  <c r="H348" i="2"/>
  <c r="I348" i="2"/>
  <c r="J348" i="2"/>
  <c r="K348" i="2"/>
  <c r="L348" i="2"/>
  <c r="M348" i="2" s="1"/>
  <c r="N348" i="2"/>
  <c r="P348" i="2"/>
  <c r="Q348" i="2"/>
  <c r="R348" i="2"/>
  <c r="S348" i="2" s="1"/>
  <c r="C349" i="2"/>
  <c r="D349" i="2"/>
  <c r="E349" i="2"/>
  <c r="G349" i="2" s="1"/>
  <c r="H349" i="2"/>
  <c r="I349" i="2"/>
  <c r="J349" i="2"/>
  <c r="K349" i="2"/>
  <c r="L349" i="2"/>
  <c r="M349" i="2" s="1"/>
  <c r="N349" i="2"/>
  <c r="P349" i="2"/>
  <c r="Q349" i="2"/>
  <c r="R349" i="2"/>
  <c r="S349" i="2" s="1"/>
  <c r="C350" i="2"/>
  <c r="D350" i="2"/>
  <c r="E350" i="2"/>
  <c r="H350" i="2"/>
  <c r="I350" i="2"/>
  <c r="J350" i="2"/>
  <c r="K350" i="2"/>
  <c r="L350" i="2"/>
  <c r="M350" i="2" s="1"/>
  <c r="N350" i="2"/>
  <c r="P350" i="2"/>
  <c r="Q350" i="2"/>
  <c r="R350" i="2"/>
  <c r="S350" i="2" s="1"/>
  <c r="C351" i="2"/>
  <c r="D351" i="2"/>
  <c r="E351" i="2"/>
  <c r="H351" i="2"/>
  <c r="I351" i="2"/>
  <c r="J351" i="2"/>
  <c r="K351" i="2"/>
  <c r="L351" i="2"/>
  <c r="M351" i="2" s="1"/>
  <c r="N351" i="2"/>
  <c r="P351" i="2"/>
  <c r="Q351" i="2"/>
  <c r="R351" i="2"/>
  <c r="S351" i="2" s="1"/>
  <c r="C352" i="2"/>
  <c r="D352" i="2"/>
  <c r="E352" i="2"/>
  <c r="G352" i="2" s="1"/>
  <c r="H352" i="2"/>
  <c r="I352" i="2"/>
  <c r="J352" i="2"/>
  <c r="K352" i="2"/>
  <c r="L352" i="2"/>
  <c r="M352" i="2"/>
  <c r="N352" i="2"/>
  <c r="P352" i="2"/>
  <c r="Q352" i="2"/>
  <c r="R352" i="2"/>
  <c r="S352" i="2" s="1"/>
  <c r="C353" i="2"/>
  <c r="D353" i="2"/>
  <c r="E353" i="2"/>
  <c r="G353" i="2" s="1"/>
  <c r="H353" i="2"/>
  <c r="I353" i="2"/>
  <c r="J353" i="2"/>
  <c r="K353" i="2"/>
  <c r="L353" i="2"/>
  <c r="M353" i="2" s="1"/>
  <c r="N353" i="2"/>
  <c r="P353" i="2"/>
  <c r="Q353" i="2"/>
  <c r="R353" i="2"/>
  <c r="S353" i="2" s="1"/>
  <c r="C354" i="2"/>
  <c r="D354" i="2"/>
  <c r="E354" i="2"/>
  <c r="H354" i="2"/>
  <c r="I354" i="2"/>
  <c r="J354" i="2"/>
  <c r="K354" i="2"/>
  <c r="L354" i="2"/>
  <c r="M354" i="2" s="1"/>
  <c r="N354" i="2"/>
  <c r="P354" i="2"/>
  <c r="Q354" i="2"/>
  <c r="R354" i="2"/>
  <c r="S354" i="2" s="1"/>
  <c r="C355" i="2"/>
  <c r="D355" i="2"/>
  <c r="E355" i="2"/>
  <c r="F355" i="2" s="1"/>
  <c r="H355" i="2"/>
  <c r="I355" i="2"/>
  <c r="J355" i="2"/>
  <c r="K355" i="2"/>
  <c r="L355" i="2"/>
  <c r="M355" i="2" s="1"/>
  <c r="N355" i="2"/>
  <c r="P355" i="2"/>
  <c r="Q355" i="2"/>
  <c r="R355" i="2"/>
  <c r="S355" i="2"/>
  <c r="C356" i="2"/>
  <c r="D356" i="2"/>
  <c r="E356" i="2"/>
  <c r="H356" i="2"/>
  <c r="I356" i="2"/>
  <c r="J356" i="2"/>
  <c r="K356" i="2"/>
  <c r="L356" i="2"/>
  <c r="M356" i="2" s="1"/>
  <c r="N356" i="2"/>
  <c r="P356" i="2"/>
  <c r="Q356" i="2"/>
  <c r="R356" i="2"/>
  <c r="S356" i="2" s="1"/>
  <c r="C357" i="2"/>
  <c r="D357" i="2"/>
  <c r="E357" i="2"/>
  <c r="H357" i="2"/>
  <c r="I357" i="2"/>
  <c r="J357" i="2"/>
  <c r="K357" i="2"/>
  <c r="L357" i="2"/>
  <c r="M357" i="2"/>
  <c r="N357" i="2"/>
  <c r="P357" i="2"/>
  <c r="Q357" i="2"/>
  <c r="R357" i="2"/>
  <c r="S357" i="2" s="1"/>
  <c r="C358" i="2"/>
  <c r="D358" i="2"/>
  <c r="E358" i="2"/>
  <c r="H358" i="2"/>
  <c r="I358" i="2"/>
  <c r="J358" i="2"/>
  <c r="K358" i="2"/>
  <c r="L358" i="2"/>
  <c r="M358" i="2" s="1"/>
  <c r="N358" i="2"/>
  <c r="P358" i="2"/>
  <c r="Q358" i="2"/>
  <c r="R358" i="2"/>
  <c r="S358" i="2" s="1"/>
  <c r="C359" i="2"/>
  <c r="D359" i="2"/>
  <c r="E359" i="2"/>
  <c r="H359" i="2"/>
  <c r="I359" i="2"/>
  <c r="J359" i="2"/>
  <c r="K359" i="2"/>
  <c r="L359" i="2"/>
  <c r="M359" i="2" s="1"/>
  <c r="N359" i="2"/>
  <c r="P359" i="2"/>
  <c r="Q359" i="2"/>
  <c r="R359" i="2"/>
  <c r="S359" i="2" s="1"/>
  <c r="C360" i="2"/>
  <c r="D360" i="2"/>
  <c r="E360" i="2"/>
  <c r="G360" i="2" s="1"/>
  <c r="F360" i="2"/>
  <c r="H360" i="2"/>
  <c r="I360" i="2"/>
  <c r="J360" i="2"/>
  <c r="K360" i="2"/>
  <c r="L360" i="2"/>
  <c r="M360" i="2" s="1"/>
  <c r="N360" i="2"/>
  <c r="P360" i="2"/>
  <c r="Q360" i="2"/>
  <c r="R360" i="2"/>
  <c r="S360" i="2" s="1"/>
  <c r="C361" i="2"/>
  <c r="D361" i="2"/>
  <c r="E361" i="2"/>
  <c r="H361" i="2"/>
  <c r="I361" i="2"/>
  <c r="J361" i="2"/>
  <c r="K361" i="2"/>
  <c r="L361" i="2"/>
  <c r="M361" i="2"/>
  <c r="N361" i="2"/>
  <c r="P361" i="2"/>
  <c r="Q361" i="2"/>
  <c r="R361" i="2"/>
  <c r="S361" i="2" s="1"/>
  <c r="C362" i="2"/>
  <c r="D362" i="2"/>
  <c r="E362" i="2"/>
  <c r="H362" i="2"/>
  <c r="I362" i="2"/>
  <c r="J362" i="2"/>
  <c r="K362" i="2"/>
  <c r="L362" i="2"/>
  <c r="M362" i="2" s="1"/>
  <c r="N362" i="2"/>
  <c r="P362" i="2"/>
  <c r="Q362" i="2"/>
  <c r="R362" i="2"/>
  <c r="S362" i="2" s="1"/>
  <c r="C363" i="2"/>
  <c r="D363" i="2"/>
  <c r="E363" i="2"/>
  <c r="H363" i="2"/>
  <c r="I363" i="2"/>
  <c r="J363" i="2"/>
  <c r="K363" i="2"/>
  <c r="L363" i="2"/>
  <c r="M363" i="2" s="1"/>
  <c r="N363" i="2"/>
  <c r="P363" i="2"/>
  <c r="Q363" i="2"/>
  <c r="R363" i="2"/>
  <c r="S363" i="2" s="1"/>
  <c r="C364" i="2"/>
  <c r="D364" i="2"/>
  <c r="E364" i="2"/>
  <c r="G364" i="2" s="1"/>
  <c r="F364" i="2"/>
  <c r="H364" i="2"/>
  <c r="I364" i="2"/>
  <c r="J364" i="2"/>
  <c r="K364" i="2"/>
  <c r="L364" i="2"/>
  <c r="M364" i="2"/>
  <c r="N364" i="2"/>
  <c r="P364" i="2"/>
  <c r="Q364" i="2"/>
  <c r="R364" i="2"/>
  <c r="S364" i="2" s="1"/>
  <c r="C365" i="2"/>
  <c r="D365" i="2"/>
  <c r="E365" i="2"/>
  <c r="G365" i="2" s="1"/>
  <c r="H365" i="2"/>
  <c r="I365" i="2"/>
  <c r="J365" i="2"/>
  <c r="K365" i="2"/>
  <c r="L365" i="2"/>
  <c r="M365" i="2" s="1"/>
  <c r="N365" i="2"/>
  <c r="P365" i="2"/>
  <c r="Q365" i="2"/>
  <c r="R365" i="2"/>
  <c r="S365" i="2" s="1"/>
  <c r="C366" i="2"/>
  <c r="D366" i="2"/>
  <c r="E366" i="2"/>
  <c r="H366" i="2"/>
  <c r="I366" i="2"/>
  <c r="J366" i="2"/>
  <c r="K366" i="2"/>
  <c r="L366" i="2"/>
  <c r="M366" i="2" s="1"/>
  <c r="N366" i="2"/>
  <c r="P366" i="2"/>
  <c r="Q366" i="2"/>
  <c r="R366" i="2"/>
  <c r="S366" i="2" s="1"/>
  <c r="C367" i="2"/>
  <c r="D367" i="2"/>
  <c r="E367" i="2"/>
  <c r="H367" i="2"/>
  <c r="I367" i="2"/>
  <c r="J367" i="2"/>
  <c r="K367" i="2"/>
  <c r="L367" i="2"/>
  <c r="M367" i="2" s="1"/>
  <c r="N367" i="2"/>
  <c r="P367" i="2"/>
  <c r="Q367" i="2"/>
  <c r="R367" i="2"/>
  <c r="S367" i="2"/>
  <c r="C368" i="2"/>
  <c r="D368" i="2"/>
  <c r="E368" i="2"/>
  <c r="G368" i="2" s="1"/>
  <c r="F368" i="2"/>
  <c r="H368" i="2"/>
  <c r="I368" i="2"/>
  <c r="J368" i="2"/>
  <c r="K368" i="2"/>
  <c r="L368" i="2"/>
  <c r="M368" i="2" s="1"/>
  <c r="N368" i="2"/>
  <c r="P368" i="2"/>
  <c r="Q368" i="2"/>
  <c r="R368" i="2"/>
  <c r="S368" i="2" s="1"/>
  <c r="C369" i="2"/>
  <c r="D369" i="2"/>
  <c r="E369" i="2"/>
  <c r="G369" i="2" s="1"/>
  <c r="H369" i="2"/>
  <c r="I369" i="2"/>
  <c r="J369" i="2"/>
  <c r="K369" i="2"/>
  <c r="L369" i="2"/>
  <c r="M369" i="2" s="1"/>
  <c r="N369" i="2"/>
  <c r="P369" i="2"/>
  <c r="Q369" i="2"/>
  <c r="R369" i="2"/>
  <c r="S369" i="2" s="1"/>
  <c r="C370" i="2"/>
  <c r="D370" i="2"/>
  <c r="E370" i="2"/>
  <c r="H370" i="2"/>
  <c r="I370" i="2"/>
  <c r="J370" i="2"/>
  <c r="K370" i="2"/>
  <c r="L370" i="2"/>
  <c r="M370" i="2" s="1"/>
  <c r="N370" i="2"/>
  <c r="P370" i="2"/>
  <c r="Q370" i="2"/>
  <c r="R370" i="2"/>
  <c r="S370" i="2"/>
  <c r="C371" i="2"/>
  <c r="D371" i="2"/>
  <c r="E371" i="2"/>
  <c r="F371" i="2"/>
  <c r="G371" i="2"/>
  <c r="O371" i="2" s="1"/>
  <c r="H371" i="2"/>
  <c r="I371" i="2"/>
  <c r="J371" i="2"/>
  <c r="K371" i="2"/>
  <c r="L371" i="2"/>
  <c r="M371" i="2" s="1"/>
  <c r="N371" i="2"/>
  <c r="P371" i="2"/>
  <c r="Q371" i="2"/>
  <c r="R371" i="2"/>
  <c r="S371" i="2" s="1"/>
  <c r="C372" i="2"/>
  <c r="D372" i="2"/>
  <c r="E372" i="2"/>
  <c r="F372" i="2" s="1"/>
  <c r="G372" i="2"/>
  <c r="H372" i="2"/>
  <c r="I372" i="2"/>
  <c r="J372" i="2"/>
  <c r="K372" i="2"/>
  <c r="L372" i="2"/>
  <c r="M372" i="2" s="1"/>
  <c r="N372" i="2"/>
  <c r="P372" i="2"/>
  <c r="Q372" i="2"/>
  <c r="R372" i="2"/>
  <c r="S372" i="2" s="1"/>
  <c r="C373" i="2"/>
  <c r="D373" i="2"/>
  <c r="E373" i="2"/>
  <c r="G373" i="2" s="1"/>
  <c r="H373" i="2"/>
  <c r="I373" i="2"/>
  <c r="J373" i="2"/>
  <c r="K373" i="2"/>
  <c r="L373" i="2"/>
  <c r="M373" i="2" s="1"/>
  <c r="N373" i="2"/>
  <c r="P373" i="2"/>
  <c r="Q373" i="2"/>
  <c r="R373" i="2"/>
  <c r="S373" i="2" s="1"/>
  <c r="C374" i="2"/>
  <c r="D374" i="2"/>
  <c r="E374" i="2"/>
  <c r="H374" i="2"/>
  <c r="I374" i="2"/>
  <c r="J374" i="2"/>
  <c r="K374" i="2"/>
  <c r="L374" i="2"/>
  <c r="M374" i="2" s="1"/>
  <c r="N374" i="2"/>
  <c r="P374" i="2"/>
  <c r="Q374" i="2"/>
  <c r="R374" i="2"/>
  <c r="S374" i="2" s="1"/>
  <c r="C375" i="2"/>
  <c r="D375" i="2"/>
  <c r="E375" i="2"/>
  <c r="H375" i="2"/>
  <c r="I375" i="2"/>
  <c r="J375" i="2"/>
  <c r="K375" i="2"/>
  <c r="L375" i="2"/>
  <c r="M375" i="2" s="1"/>
  <c r="N375" i="2"/>
  <c r="P375" i="2"/>
  <c r="Q375" i="2"/>
  <c r="R375" i="2"/>
  <c r="S375" i="2" s="1"/>
  <c r="C376" i="2"/>
  <c r="D376" i="2"/>
  <c r="E376" i="2"/>
  <c r="F376" i="2" s="1"/>
  <c r="H376" i="2"/>
  <c r="I376" i="2"/>
  <c r="J376" i="2"/>
  <c r="K376" i="2"/>
  <c r="L376" i="2"/>
  <c r="M376" i="2" s="1"/>
  <c r="N376" i="2"/>
  <c r="P376" i="2"/>
  <c r="Q376" i="2"/>
  <c r="R376" i="2"/>
  <c r="S376" i="2" s="1"/>
  <c r="C377" i="2"/>
  <c r="D377" i="2"/>
  <c r="E377" i="2"/>
  <c r="H377" i="2"/>
  <c r="I377" i="2"/>
  <c r="J377" i="2"/>
  <c r="K377" i="2"/>
  <c r="L377" i="2"/>
  <c r="M377" i="2" s="1"/>
  <c r="N377" i="2"/>
  <c r="P377" i="2"/>
  <c r="Q377" i="2"/>
  <c r="R377" i="2"/>
  <c r="S377" i="2" s="1"/>
  <c r="C378" i="2"/>
  <c r="D378" i="2"/>
  <c r="E378" i="2"/>
  <c r="H378" i="2"/>
  <c r="I378" i="2"/>
  <c r="J378" i="2"/>
  <c r="K378" i="2"/>
  <c r="L378" i="2"/>
  <c r="M378" i="2" s="1"/>
  <c r="N378" i="2"/>
  <c r="P378" i="2"/>
  <c r="Q378" i="2"/>
  <c r="R378" i="2"/>
  <c r="S378" i="2" s="1"/>
  <c r="C379" i="2"/>
  <c r="D379" i="2"/>
  <c r="E379" i="2"/>
  <c r="F379" i="2"/>
  <c r="G379" i="2"/>
  <c r="H379" i="2"/>
  <c r="I379" i="2"/>
  <c r="J379" i="2"/>
  <c r="K379" i="2"/>
  <c r="L379" i="2"/>
  <c r="M379" i="2" s="1"/>
  <c r="N379" i="2"/>
  <c r="P379" i="2"/>
  <c r="Q379" i="2"/>
  <c r="R379" i="2"/>
  <c r="S379" i="2"/>
  <c r="C380" i="2"/>
  <c r="D380" i="2"/>
  <c r="E380" i="2"/>
  <c r="H380" i="2"/>
  <c r="I380" i="2"/>
  <c r="J380" i="2"/>
  <c r="K380" i="2"/>
  <c r="L380" i="2"/>
  <c r="M380" i="2" s="1"/>
  <c r="N380" i="2"/>
  <c r="P380" i="2"/>
  <c r="Q380" i="2"/>
  <c r="R380" i="2"/>
  <c r="S380" i="2" s="1"/>
  <c r="C381" i="2"/>
  <c r="D381" i="2"/>
  <c r="E381" i="2"/>
  <c r="G381" i="2" s="1"/>
  <c r="H381" i="2"/>
  <c r="I381" i="2"/>
  <c r="J381" i="2"/>
  <c r="K381" i="2"/>
  <c r="L381" i="2"/>
  <c r="M381" i="2"/>
  <c r="N381" i="2"/>
  <c r="P381" i="2"/>
  <c r="Q381" i="2"/>
  <c r="R381" i="2"/>
  <c r="S381" i="2" s="1"/>
  <c r="C382" i="2"/>
  <c r="D382" i="2"/>
  <c r="E382" i="2"/>
  <c r="H382" i="2"/>
  <c r="I382" i="2"/>
  <c r="J382" i="2"/>
  <c r="K382" i="2"/>
  <c r="L382" i="2"/>
  <c r="M382" i="2" s="1"/>
  <c r="N382" i="2"/>
  <c r="P382" i="2"/>
  <c r="Q382" i="2"/>
  <c r="R382" i="2"/>
  <c r="S382" i="2" s="1"/>
  <c r="C383" i="2"/>
  <c r="D383" i="2"/>
  <c r="E383" i="2"/>
  <c r="G383" i="2" s="1"/>
  <c r="H383" i="2"/>
  <c r="I383" i="2"/>
  <c r="J383" i="2"/>
  <c r="K383" i="2"/>
  <c r="L383" i="2"/>
  <c r="M383" i="2" s="1"/>
  <c r="N383" i="2"/>
  <c r="P383" i="2"/>
  <c r="Q383" i="2"/>
  <c r="R383" i="2"/>
  <c r="S383" i="2"/>
  <c r="C384" i="2"/>
  <c r="D384" i="2"/>
  <c r="E384" i="2"/>
  <c r="F384" i="2" s="1"/>
  <c r="H384" i="2"/>
  <c r="I384" i="2"/>
  <c r="J384" i="2"/>
  <c r="K384" i="2"/>
  <c r="L384" i="2"/>
  <c r="M384" i="2" s="1"/>
  <c r="N384" i="2"/>
  <c r="P384" i="2"/>
  <c r="Q384" i="2"/>
  <c r="R384" i="2"/>
  <c r="S384" i="2" s="1"/>
  <c r="C385" i="2"/>
  <c r="D385" i="2"/>
  <c r="E385" i="2"/>
  <c r="H385" i="2"/>
  <c r="I385" i="2"/>
  <c r="J385" i="2"/>
  <c r="K385" i="2"/>
  <c r="L385" i="2"/>
  <c r="M385" i="2" s="1"/>
  <c r="N385" i="2"/>
  <c r="P385" i="2"/>
  <c r="Q385" i="2"/>
  <c r="R385" i="2"/>
  <c r="S385" i="2" s="1"/>
  <c r="C386" i="2"/>
  <c r="D386" i="2"/>
  <c r="E386" i="2"/>
  <c r="H386" i="2"/>
  <c r="I386" i="2"/>
  <c r="J386" i="2"/>
  <c r="K386" i="2"/>
  <c r="L386" i="2"/>
  <c r="M386" i="2" s="1"/>
  <c r="N386" i="2"/>
  <c r="P386" i="2"/>
  <c r="Q386" i="2"/>
  <c r="R386" i="2"/>
  <c r="S386" i="2" s="1"/>
  <c r="C387" i="2"/>
  <c r="D387" i="2"/>
  <c r="E387" i="2"/>
  <c r="G387" i="2" s="1"/>
  <c r="F387" i="2"/>
  <c r="H387" i="2"/>
  <c r="I387" i="2"/>
  <c r="J387" i="2"/>
  <c r="K387" i="2"/>
  <c r="L387" i="2"/>
  <c r="M387" i="2" s="1"/>
  <c r="N387" i="2"/>
  <c r="P387" i="2"/>
  <c r="Q387" i="2"/>
  <c r="R387" i="2"/>
  <c r="S387" i="2" s="1"/>
  <c r="C388" i="2"/>
  <c r="D388" i="2"/>
  <c r="E388" i="2"/>
  <c r="H388" i="2"/>
  <c r="I388" i="2"/>
  <c r="J388" i="2"/>
  <c r="K388" i="2"/>
  <c r="L388" i="2"/>
  <c r="M388" i="2" s="1"/>
  <c r="N388" i="2"/>
  <c r="P388" i="2"/>
  <c r="Q388" i="2"/>
  <c r="R388" i="2"/>
  <c r="S388" i="2" s="1"/>
  <c r="C389" i="2"/>
  <c r="D389" i="2"/>
  <c r="E389" i="2"/>
  <c r="F389" i="2" s="1"/>
  <c r="H389" i="2"/>
  <c r="I389" i="2"/>
  <c r="J389" i="2"/>
  <c r="K389" i="2"/>
  <c r="L389" i="2"/>
  <c r="M389" i="2" s="1"/>
  <c r="N389" i="2"/>
  <c r="P389" i="2"/>
  <c r="Q389" i="2"/>
  <c r="R389" i="2"/>
  <c r="S389" i="2" s="1"/>
  <c r="C390" i="2"/>
  <c r="D390" i="2"/>
  <c r="E390" i="2"/>
  <c r="H390" i="2"/>
  <c r="I390" i="2"/>
  <c r="J390" i="2"/>
  <c r="K390" i="2"/>
  <c r="L390" i="2"/>
  <c r="M390" i="2" s="1"/>
  <c r="N390" i="2"/>
  <c r="P390" i="2"/>
  <c r="Q390" i="2"/>
  <c r="R390" i="2"/>
  <c r="S390" i="2" s="1"/>
  <c r="C391" i="2"/>
  <c r="D391" i="2"/>
  <c r="E391" i="2"/>
  <c r="H391" i="2"/>
  <c r="I391" i="2"/>
  <c r="J391" i="2"/>
  <c r="K391" i="2"/>
  <c r="L391" i="2"/>
  <c r="M391" i="2" s="1"/>
  <c r="N391" i="2"/>
  <c r="P391" i="2"/>
  <c r="Q391" i="2"/>
  <c r="R391" i="2"/>
  <c r="S391" i="2" s="1"/>
  <c r="C392" i="2"/>
  <c r="D392" i="2"/>
  <c r="E392" i="2"/>
  <c r="H392" i="2"/>
  <c r="I392" i="2"/>
  <c r="J392" i="2"/>
  <c r="K392" i="2"/>
  <c r="L392" i="2"/>
  <c r="M392" i="2" s="1"/>
  <c r="N392" i="2"/>
  <c r="P392" i="2"/>
  <c r="Q392" i="2"/>
  <c r="R392" i="2"/>
  <c r="S392" i="2" s="1"/>
  <c r="C393" i="2"/>
  <c r="D393" i="2"/>
  <c r="E393" i="2"/>
  <c r="H393" i="2"/>
  <c r="I393" i="2"/>
  <c r="J393" i="2"/>
  <c r="K393" i="2"/>
  <c r="L393" i="2"/>
  <c r="M393" i="2" s="1"/>
  <c r="N393" i="2"/>
  <c r="P393" i="2"/>
  <c r="Q393" i="2"/>
  <c r="R393" i="2"/>
  <c r="S393" i="2"/>
  <c r="C394" i="2"/>
  <c r="D394" i="2"/>
  <c r="E394" i="2"/>
  <c r="H394" i="2"/>
  <c r="I394" i="2"/>
  <c r="J394" i="2"/>
  <c r="K394" i="2"/>
  <c r="L394" i="2"/>
  <c r="M394" i="2" s="1"/>
  <c r="N394" i="2"/>
  <c r="P394" i="2"/>
  <c r="Q394" i="2"/>
  <c r="R394" i="2"/>
  <c r="S394" i="2" s="1"/>
  <c r="C395" i="2"/>
  <c r="D395" i="2"/>
  <c r="E395" i="2"/>
  <c r="G395" i="2" s="1"/>
  <c r="H395" i="2"/>
  <c r="I395" i="2"/>
  <c r="J395" i="2"/>
  <c r="K395" i="2"/>
  <c r="L395" i="2"/>
  <c r="M395" i="2" s="1"/>
  <c r="N395" i="2"/>
  <c r="P395" i="2"/>
  <c r="Q395" i="2"/>
  <c r="R395" i="2"/>
  <c r="S395" i="2" s="1"/>
  <c r="C396" i="2"/>
  <c r="D396" i="2"/>
  <c r="E396" i="2"/>
  <c r="H396" i="2"/>
  <c r="I396" i="2"/>
  <c r="J396" i="2"/>
  <c r="K396" i="2"/>
  <c r="L396" i="2"/>
  <c r="M396" i="2" s="1"/>
  <c r="N396" i="2"/>
  <c r="P396" i="2"/>
  <c r="Q396" i="2"/>
  <c r="R396" i="2"/>
  <c r="S396" i="2" s="1"/>
  <c r="C397" i="2"/>
  <c r="D397" i="2"/>
  <c r="E397" i="2"/>
  <c r="F397" i="2" s="1"/>
  <c r="H397" i="2"/>
  <c r="I397" i="2"/>
  <c r="J397" i="2"/>
  <c r="K397" i="2"/>
  <c r="L397" i="2"/>
  <c r="M397" i="2" s="1"/>
  <c r="N397" i="2"/>
  <c r="P397" i="2"/>
  <c r="Q397" i="2"/>
  <c r="R397" i="2"/>
  <c r="S397" i="2" s="1"/>
  <c r="C398" i="2"/>
  <c r="D398" i="2"/>
  <c r="E398" i="2"/>
  <c r="F398" i="2"/>
  <c r="G398" i="2"/>
  <c r="H398" i="2"/>
  <c r="I398" i="2"/>
  <c r="J398" i="2"/>
  <c r="K398" i="2"/>
  <c r="L398" i="2"/>
  <c r="M398" i="2" s="1"/>
  <c r="N398" i="2"/>
  <c r="P398" i="2"/>
  <c r="Q398" i="2"/>
  <c r="R398" i="2"/>
  <c r="S398" i="2" s="1"/>
  <c r="C399" i="2"/>
  <c r="D399" i="2"/>
  <c r="E399" i="2"/>
  <c r="H399" i="2"/>
  <c r="I399" i="2"/>
  <c r="J399" i="2"/>
  <c r="K399" i="2"/>
  <c r="L399" i="2"/>
  <c r="M399" i="2" s="1"/>
  <c r="N399" i="2"/>
  <c r="P399" i="2"/>
  <c r="Q399" i="2"/>
  <c r="R399" i="2"/>
  <c r="S399" i="2" s="1"/>
  <c r="C400" i="2"/>
  <c r="D400" i="2"/>
  <c r="E400" i="2"/>
  <c r="H400" i="2"/>
  <c r="I400" i="2"/>
  <c r="J400" i="2"/>
  <c r="K400" i="2"/>
  <c r="L400" i="2"/>
  <c r="M400" i="2"/>
  <c r="N400" i="2"/>
  <c r="P400" i="2"/>
  <c r="Q400" i="2"/>
  <c r="R400" i="2"/>
  <c r="S400" i="2" s="1"/>
  <c r="C401" i="2"/>
  <c r="D401" i="2"/>
  <c r="E401" i="2"/>
  <c r="F401" i="2" s="1"/>
  <c r="H401" i="2"/>
  <c r="I401" i="2"/>
  <c r="J401" i="2"/>
  <c r="K401" i="2"/>
  <c r="L401" i="2"/>
  <c r="M401" i="2" s="1"/>
  <c r="N401" i="2"/>
  <c r="P401" i="2"/>
  <c r="Q401" i="2"/>
  <c r="R401" i="2"/>
  <c r="S401" i="2" s="1"/>
  <c r="C402" i="2"/>
  <c r="D402" i="2"/>
  <c r="E402" i="2"/>
  <c r="H402" i="2"/>
  <c r="I402" i="2"/>
  <c r="J402" i="2"/>
  <c r="K402" i="2"/>
  <c r="L402" i="2"/>
  <c r="M402" i="2" s="1"/>
  <c r="N402" i="2"/>
  <c r="P402" i="2"/>
  <c r="Q402" i="2"/>
  <c r="R402" i="2"/>
  <c r="S402" i="2" s="1"/>
  <c r="C403" i="2"/>
  <c r="D403" i="2"/>
  <c r="E403" i="2"/>
  <c r="G403" i="2" s="1"/>
  <c r="H403" i="2"/>
  <c r="I403" i="2"/>
  <c r="J403" i="2"/>
  <c r="K403" i="2"/>
  <c r="L403" i="2"/>
  <c r="M403" i="2" s="1"/>
  <c r="N403" i="2"/>
  <c r="P403" i="2"/>
  <c r="Q403" i="2"/>
  <c r="R403" i="2"/>
  <c r="S403" i="2" s="1"/>
  <c r="C404" i="2"/>
  <c r="D404" i="2"/>
  <c r="E404" i="2"/>
  <c r="H404" i="2"/>
  <c r="I404" i="2"/>
  <c r="J404" i="2"/>
  <c r="K404" i="2"/>
  <c r="L404" i="2"/>
  <c r="M404" i="2" s="1"/>
  <c r="N404" i="2"/>
  <c r="P404" i="2"/>
  <c r="Q404" i="2"/>
  <c r="R404" i="2"/>
  <c r="S404" i="2" s="1"/>
  <c r="C405" i="2"/>
  <c r="D405" i="2"/>
  <c r="E405" i="2"/>
  <c r="F405" i="2" s="1"/>
  <c r="H405" i="2"/>
  <c r="I405" i="2"/>
  <c r="J405" i="2"/>
  <c r="K405" i="2"/>
  <c r="L405" i="2"/>
  <c r="M405" i="2" s="1"/>
  <c r="N405" i="2"/>
  <c r="P405" i="2"/>
  <c r="Q405" i="2"/>
  <c r="R405" i="2"/>
  <c r="S405" i="2" s="1"/>
  <c r="C406" i="2"/>
  <c r="D406" i="2"/>
  <c r="E406" i="2"/>
  <c r="H406" i="2"/>
  <c r="I406" i="2"/>
  <c r="J406" i="2"/>
  <c r="K406" i="2"/>
  <c r="L406" i="2"/>
  <c r="M406" i="2" s="1"/>
  <c r="N406" i="2"/>
  <c r="P406" i="2"/>
  <c r="Q406" i="2"/>
  <c r="R406" i="2"/>
  <c r="S406" i="2" s="1"/>
  <c r="C407" i="2"/>
  <c r="D407" i="2"/>
  <c r="E407" i="2"/>
  <c r="H407" i="2"/>
  <c r="I407" i="2"/>
  <c r="J407" i="2"/>
  <c r="K407" i="2"/>
  <c r="L407" i="2"/>
  <c r="M407" i="2" s="1"/>
  <c r="N407" i="2"/>
  <c r="P407" i="2"/>
  <c r="Q407" i="2"/>
  <c r="R407" i="2"/>
  <c r="S407" i="2" s="1"/>
  <c r="C408" i="2"/>
  <c r="D408" i="2"/>
  <c r="E408" i="2"/>
  <c r="H408" i="2"/>
  <c r="I408" i="2"/>
  <c r="J408" i="2"/>
  <c r="K408" i="2"/>
  <c r="L408" i="2"/>
  <c r="M408" i="2" s="1"/>
  <c r="N408" i="2"/>
  <c r="P408" i="2"/>
  <c r="Q408" i="2"/>
  <c r="R408" i="2"/>
  <c r="S408" i="2" s="1"/>
  <c r="C409" i="2"/>
  <c r="D409" i="2"/>
  <c r="E409" i="2"/>
  <c r="H409" i="2"/>
  <c r="I409" i="2"/>
  <c r="J409" i="2"/>
  <c r="K409" i="2"/>
  <c r="L409" i="2"/>
  <c r="M409" i="2" s="1"/>
  <c r="N409" i="2"/>
  <c r="P409" i="2"/>
  <c r="Q409" i="2"/>
  <c r="R409" i="2"/>
  <c r="S409" i="2"/>
  <c r="C410" i="2"/>
  <c r="D410" i="2"/>
  <c r="E410" i="2"/>
  <c r="F410" i="2"/>
  <c r="G410" i="2"/>
  <c r="H410" i="2"/>
  <c r="I410" i="2"/>
  <c r="J410" i="2"/>
  <c r="K410" i="2"/>
  <c r="L410" i="2"/>
  <c r="M410" i="2" s="1"/>
  <c r="N410" i="2"/>
  <c r="P410" i="2"/>
  <c r="Q410" i="2"/>
  <c r="R410" i="2"/>
  <c r="S410" i="2" s="1"/>
  <c r="C411" i="2"/>
  <c r="D411" i="2"/>
  <c r="E411" i="2"/>
  <c r="G411" i="2" s="1"/>
  <c r="H411" i="2"/>
  <c r="I411" i="2"/>
  <c r="J411" i="2"/>
  <c r="K411" i="2"/>
  <c r="L411" i="2"/>
  <c r="M411" i="2" s="1"/>
  <c r="N411" i="2"/>
  <c r="P411" i="2"/>
  <c r="Q411" i="2"/>
  <c r="R411" i="2"/>
  <c r="S411" i="2" s="1"/>
  <c r="C412" i="2"/>
  <c r="D412" i="2"/>
  <c r="E412" i="2"/>
  <c r="H412" i="2"/>
  <c r="I412" i="2"/>
  <c r="J412" i="2"/>
  <c r="K412" i="2"/>
  <c r="L412" i="2"/>
  <c r="M412" i="2" s="1"/>
  <c r="N412" i="2"/>
  <c r="P412" i="2"/>
  <c r="Q412" i="2"/>
  <c r="R412" i="2"/>
  <c r="S412" i="2" s="1"/>
  <c r="C413" i="2"/>
  <c r="D413" i="2"/>
  <c r="E413" i="2"/>
  <c r="H413" i="2"/>
  <c r="I413" i="2"/>
  <c r="J413" i="2"/>
  <c r="K413" i="2"/>
  <c r="L413" i="2"/>
  <c r="M413" i="2" s="1"/>
  <c r="N413" i="2"/>
  <c r="P413" i="2"/>
  <c r="Q413" i="2"/>
  <c r="R413" i="2"/>
  <c r="S413" i="2"/>
  <c r="C414" i="2"/>
  <c r="D414" i="2"/>
  <c r="E414" i="2"/>
  <c r="H414" i="2"/>
  <c r="I414" i="2"/>
  <c r="J414" i="2"/>
  <c r="K414" i="2"/>
  <c r="L414" i="2"/>
  <c r="M414" i="2" s="1"/>
  <c r="N414" i="2"/>
  <c r="P414" i="2"/>
  <c r="Q414" i="2"/>
  <c r="R414" i="2"/>
  <c r="S414" i="2" s="1"/>
  <c r="C415" i="2"/>
  <c r="D415" i="2"/>
  <c r="E415" i="2"/>
  <c r="H415" i="2"/>
  <c r="I415" i="2"/>
  <c r="J415" i="2"/>
  <c r="K415" i="2"/>
  <c r="L415" i="2"/>
  <c r="M415" i="2" s="1"/>
  <c r="N415" i="2"/>
  <c r="P415" i="2"/>
  <c r="Q415" i="2"/>
  <c r="R415" i="2"/>
  <c r="S415" i="2" s="1"/>
  <c r="C416" i="2"/>
  <c r="D416" i="2"/>
  <c r="E416" i="2"/>
  <c r="H416" i="2"/>
  <c r="I416" i="2"/>
  <c r="J416" i="2"/>
  <c r="K416" i="2"/>
  <c r="L416" i="2"/>
  <c r="M416" i="2" s="1"/>
  <c r="N416" i="2"/>
  <c r="P416" i="2"/>
  <c r="Q416" i="2"/>
  <c r="R416" i="2"/>
  <c r="S416" i="2" s="1"/>
  <c r="C417" i="2"/>
  <c r="D417" i="2"/>
  <c r="E417" i="2"/>
  <c r="F417" i="2" s="1"/>
  <c r="G417" i="2"/>
  <c r="O417" i="2" s="1"/>
  <c r="H417" i="2"/>
  <c r="I417" i="2"/>
  <c r="J417" i="2"/>
  <c r="K417" i="2"/>
  <c r="L417" i="2"/>
  <c r="M417" i="2" s="1"/>
  <c r="N417" i="2"/>
  <c r="P417" i="2"/>
  <c r="Q417" i="2"/>
  <c r="R417" i="2"/>
  <c r="S417" i="2" s="1"/>
  <c r="C418" i="2"/>
  <c r="D418" i="2"/>
  <c r="E418" i="2"/>
  <c r="H418" i="2"/>
  <c r="I418" i="2"/>
  <c r="J418" i="2"/>
  <c r="K418" i="2"/>
  <c r="L418" i="2"/>
  <c r="M418" i="2" s="1"/>
  <c r="N418" i="2"/>
  <c r="P418" i="2"/>
  <c r="Q418" i="2"/>
  <c r="R418" i="2"/>
  <c r="S418" i="2" s="1"/>
  <c r="C419" i="2"/>
  <c r="D419" i="2"/>
  <c r="E419" i="2"/>
  <c r="H419" i="2"/>
  <c r="I419" i="2"/>
  <c r="J419" i="2"/>
  <c r="K419" i="2"/>
  <c r="L419" i="2"/>
  <c r="M419" i="2" s="1"/>
  <c r="N419" i="2"/>
  <c r="P419" i="2"/>
  <c r="Q419" i="2"/>
  <c r="R419" i="2"/>
  <c r="S419" i="2" s="1"/>
  <c r="C420" i="2"/>
  <c r="D420" i="2"/>
  <c r="E420" i="2"/>
  <c r="H420" i="2"/>
  <c r="I420" i="2"/>
  <c r="J420" i="2"/>
  <c r="K420" i="2"/>
  <c r="L420" i="2"/>
  <c r="M420" i="2" s="1"/>
  <c r="N420" i="2"/>
  <c r="P420" i="2"/>
  <c r="Q420" i="2"/>
  <c r="R420" i="2"/>
  <c r="S420" i="2" s="1"/>
  <c r="C421" i="2"/>
  <c r="D421" i="2"/>
  <c r="E421" i="2"/>
  <c r="H421" i="2"/>
  <c r="I421" i="2"/>
  <c r="J421" i="2"/>
  <c r="K421" i="2"/>
  <c r="L421" i="2"/>
  <c r="M421" i="2" s="1"/>
  <c r="N421" i="2"/>
  <c r="P421" i="2"/>
  <c r="Q421" i="2"/>
  <c r="R421" i="2"/>
  <c r="S421" i="2" s="1"/>
  <c r="C422" i="2"/>
  <c r="D422" i="2"/>
  <c r="E422" i="2"/>
  <c r="H422" i="2"/>
  <c r="I422" i="2"/>
  <c r="J422" i="2"/>
  <c r="K422" i="2"/>
  <c r="L422" i="2"/>
  <c r="M422" i="2" s="1"/>
  <c r="N422" i="2"/>
  <c r="P422" i="2"/>
  <c r="Q422" i="2"/>
  <c r="R422" i="2"/>
  <c r="S422" i="2" s="1"/>
  <c r="C423" i="2"/>
  <c r="D423" i="2"/>
  <c r="E423" i="2"/>
  <c r="H423" i="2"/>
  <c r="I423" i="2"/>
  <c r="J423" i="2"/>
  <c r="K423" i="2"/>
  <c r="L423" i="2"/>
  <c r="M423" i="2" s="1"/>
  <c r="N423" i="2"/>
  <c r="P423" i="2"/>
  <c r="Q423" i="2"/>
  <c r="R423" i="2"/>
  <c r="S423" i="2" s="1"/>
  <c r="C424" i="2"/>
  <c r="D424" i="2"/>
  <c r="E424" i="2"/>
  <c r="H424" i="2"/>
  <c r="I424" i="2"/>
  <c r="J424" i="2"/>
  <c r="K424" i="2"/>
  <c r="L424" i="2"/>
  <c r="M424" i="2" s="1"/>
  <c r="N424" i="2"/>
  <c r="P424" i="2"/>
  <c r="Q424" i="2"/>
  <c r="R424" i="2"/>
  <c r="S424" i="2" s="1"/>
  <c r="C425" i="2"/>
  <c r="D425" i="2"/>
  <c r="E425" i="2"/>
  <c r="H425" i="2"/>
  <c r="I425" i="2"/>
  <c r="J425" i="2"/>
  <c r="K425" i="2"/>
  <c r="L425" i="2"/>
  <c r="M425" i="2" s="1"/>
  <c r="N425" i="2"/>
  <c r="P425" i="2"/>
  <c r="Q425" i="2"/>
  <c r="R425" i="2"/>
  <c r="S425" i="2"/>
  <c r="C426" i="2"/>
  <c r="D426" i="2"/>
  <c r="E426" i="2"/>
  <c r="F426" i="2" s="1"/>
  <c r="G426" i="2"/>
  <c r="O426" i="2" s="1"/>
  <c r="H426" i="2"/>
  <c r="I426" i="2"/>
  <c r="J426" i="2"/>
  <c r="K426" i="2"/>
  <c r="L426" i="2"/>
  <c r="M426" i="2" s="1"/>
  <c r="N426" i="2"/>
  <c r="P426" i="2"/>
  <c r="Q426" i="2"/>
  <c r="R426" i="2"/>
  <c r="S426" i="2" s="1"/>
  <c r="C427" i="2"/>
  <c r="D427" i="2"/>
  <c r="E427" i="2"/>
  <c r="G427" i="2" s="1"/>
  <c r="H427" i="2"/>
  <c r="I427" i="2"/>
  <c r="J427" i="2"/>
  <c r="K427" i="2"/>
  <c r="L427" i="2"/>
  <c r="M427" i="2" s="1"/>
  <c r="N427" i="2"/>
  <c r="P427" i="2"/>
  <c r="Q427" i="2"/>
  <c r="R427" i="2"/>
  <c r="S427" i="2" s="1"/>
  <c r="C428" i="2"/>
  <c r="D428" i="2"/>
  <c r="E428" i="2"/>
  <c r="H428" i="2"/>
  <c r="I428" i="2"/>
  <c r="J428" i="2"/>
  <c r="K428" i="2"/>
  <c r="L428" i="2"/>
  <c r="M428" i="2" s="1"/>
  <c r="N428" i="2"/>
  <c r="P428" i="2"/>
  <c r="Q428" i="2"/>
  <c r="R428" i="2"/>
  <c r="S428" i="2" s="1"/>
  <c r="C429" i="2"/>
  <c r="D429" i="2"/>
  <c r="E429" i="2"/>
  <c r="H429" i="2"/>
  <c r="I429" i="2"/>
  <c r="J429" i="2"/>
  <c r="K429" i="2"/>
  <c r="L429" i="2"/>
  <c r="M429" i="2" s="1"/>
  <c r="N429" i="2"/>
  <c r="P429" i="2"/>
  <c r="Q429" i="2"/>
  <c r="R429" i="2"/>
  <c r="S429" i="2" s="1"/>
  <c r="C430" i="2"/>
  <c r="D430" i="2"/>
  <c r="E430" i="2"/>
  <c r="F430" i="2"/>
  <c r="G430" i="2"/>
  <c r="H430" i="2"/>
  <c r="I430" i="2"/>
  <c r="J430" i="2"/>
  <c r="K430" i="2"/>
  <c r="L430" i="2"/>
  <c r="M430" i="2" s="1"/>
  <c r="N430" i="2"/>
  <c r="P430" i="2"/>
  <c r="Q430" i="2"/>
  <c r="R430" i="2"/>
  <c r="S430" i="2" s="1"/>
  <c r="C431" i="2"/>
  <c r="D431" i="2"/>
  <c r="E431" i="2"/>
  <c r="H431" i="2"/>
  <c r="I431" i="2"/>
  <c r="J431" i="2"/>
  <c r="K431" i="2"/>
  <c r="L431" i="2"/>
  <c r="M431" i="2" s="1"/>
  <c r="N431" i="2"/>
  <c r="P431" i="2"/>
  <c r="Q431" i="2"/>
  <c r="R431" i="2"/>
  <c r="S431" i="2" s="1"/>
  <c r="C432" i="2"/>
  <c r="D432" i="2"/>
  <c r="E432" i="2"/>
  <c r="H432" i="2"/>
  <c r="I432" i="2"/>
  <c r="J432" i="2"/>
  <c r="K432" i="2"/>
  <c r="L432" i="2"/>
  <c r="M432" i="2" s="1"/>
  <c r="N432" i="2"/>
  <c r="P432" i="2"/>
  <c r="Q432" i="2"/>
  <c r="R432" i="2"/>
  <c r="S432" i="2" s="1"/>
  <c r="C433" i="2"/>
  <c r="D433" i="2"/>
  <c r="E433" i="2"/>
  <c r="F433" i="2" s="1"/>
  <c r="G433" i="2"/>
  <c r="O433" i="2" s="1"/>
  <c r="H433" i="2"/>
  <c r="I433" i="2"/>
  <c r="J433" i="2"/>
  <c r="K433" i="2"/>
  <c r="L433" i="2"/>
  <c r="M433" i="2" s="1"/>
  <c r="N433" i="2"/>
  <c r="P433" i="2"/>
  <c r="Q433" i="2"/>
  <c r="R433" i="2"/>
  <c r="S433" i="2" s="1"/>
  <c r="C434" i="2"/>
  <c r="D434" i="2"/>
  <c r="E434" i="2"/>
  <c r="H434" i="2"/>
  <c r="I434" i="2"/>
  <c r="J434" i="2"/>
  <c r="K434" i="2"/>
  <c r="L434" i="2"/>
  <c r="M434" i="2" s="1"/>
  <c r="N434" i="2"/>
  <c r="P434" i="2"/>
  <c r="Q434" i="2"/>
  <c r="R434" i="2"/>
  <c r="S434" i="2" s="1"/>
  <c r="C435" i="2"/>
  <c r="D435" i="2"/>
  <c r="E435" i="2"/>
  <c r="H435" i="2"/>
  <c r="I435" i="2"/>
  <c r="J435" i="2"/>
  <c r="K435" i="2"/>
  <c r="L435" i="2"/>
  <c r="M435" i="2" s="1"/>
  <c r="N435" i="2"/>
  <c r="P435" i="2"/>
  <c r="Q435" i="2"/>
  <c r="R435" i="2"/>
  <c r="S435" i="2" s="1"/>
  <c r="C436" i="2"/>
  <c r="D436" i="2"/>
  <c r="E436" i="2"/>
  <c r="H436" i="2"/>
  <c r="I436" i="2"/>
  <c r="J436" i="2"/>
  <c r="K436" i="2"/>
  <c r="L436" i="2"/>
  <c r="M436" i="2" s="1"/>
  <c r="N436" i="2"/>
  <c r="P436" i="2"/>
  <c r="Q436" i="2"/>
  <c r="R436" i="2"/>
  <c r="S436" i="2" s="1"/>
  <c r="C437" i="2"/>
  <c r="D437" i="2"/>
  <c r="E437" i="2"/>
  <c r="F437" i="2" s="1"/>
  <c r="G437" i="2"/>
  <c r="H437" i="2"/>
  <c r="I437" i="2"/>
  <c r="J437" i="2"/>
  <c r="K437" i="2"/>
  <c r="L437" i="2"/>
  <c r="M437" i="2" s="1"/>
  <c r="N437" i="2"/>
  <c r="P437" i="2"/>
  <c r="Q437" i="2"/>
  <c r="R437" i="2"/>
  <c r="S437" i="2" s="1"/>
  <c r="C438" i="2"/>
  <c r="D438" i="2"/>
  <c r="E438" i="2"/>
  <c r="H438" i="2"/>
  <c r="I438" i="2"/>
  <c r="J438" i="2"/>
  <c r="K438" i="2"/>
  <c r="L438" i="2"/>
  <c r="M438" i="2" s="1"/>
  <c r="N438" i="2"/>
  <c r="P438" i="2"/>
  <c r="Q438" i="2"/>
  <c r="R438" i="2"/>
  <c r="S438" i="2" s="1"/>
  <c r="C439" i="2"/>
  <c r="D439" i="2"/>
  <c r="E439" i="2"/>
  <c r="H439" i="2"/>
  <c r="I439" i="2"/>
  <c r="J439" i="2"/>
  <c r="K439" i="2"/>
  <c r="L439" i="2"/>
  <c r="M439" i="2" s="1"/>
  <c r="N439" i="2"/>
  <c r="P439" i="2"/>
  <c r="Q439" i="2"/>
  <c r="R439" i="2"/>
  <c r="S439" i="2" s="1"/>
  <c r="C440" i="2"/>
  <c r="D440" i="2"/>
  <c r="E440" i="2"/>
  <c r="H440" i="2"/>
  <c r="I440" i="2"/>
  <c r="J440" i="2"/>
  <c r="K440" i="2"/>
  <c r="L440" i="2"/>
  <c r="M440" i="2" s="1"/>
  <c r="N440" i="2"/>
  <c r="P440" i="2"/>
  <c r="Q440" i="2"/>
  <c r="R440" i="2"/>
  <c r="S440" i="2" s="1"/>
  <c r="C441" i="2"/>
  <c r="D441" i="2"/>
  <c r="E441" i="2"/>
  <c r="H441" i="2"/>
  <c r="I441" i="2"/>
  <c r="J441" i="2"/>
  <c r="K441" i="2"/>
  <c r="L441" i="2"/>
  <c r="M441" i="2" s="1"/>
  <c r="N441" i="2"/>
  <c r="P441" i="2"/>
  <c r="Q441" i="2"/>
  <c r="R441" i="2"/>
  <c r="S441" i="2"/>
  <c r="C442" i="2"/>
  <c r="D442" i="2"/>
  <c r="E442" i="2"/>
  <c r="H442" i="2"/>
  <c r="I442" i="2"/>
  <c r="J442" i="2"/>
  <c r="K442" i="2"/>
  <c r="L442" i="2"/>
  <c r="M442" i="2" s="1"/>
  <c r="N442" i="2"/>
  <c r="P442" i="2"/>
  <c r="Q442" i="2"/>
  <c r="R442" i="2"/>
  <c r="S442" i="2"/>
  <c r="C443" i="2"/>
  <c r="D443" i="2"/>
  <c r="E443" i="2"/>
  <c r="G443" i="2" s="1"/>
  <c r="H443" i="2"/>
  <c r="I443" i="2"/>
  <c r="J443" i="2"/>
  <c r="K443" i="2"/>
  <c r="L443" i="2"/>
  <c r="M443" i="2" s="1"/>
  <c r="N443" i="2"/>
  <c r="P443" i="2"/>
  <c r="Q443" i="2"/>
  <c r="R443" i="2"/>
  <c r="S443" i="2" s="1"/>
  <c r="C444" i="2"/>
  <c r="D444" i="2"/>
  <c r="E444" i="2"/>
  <c r="H444" i="2"/>
  <c r="I444" i="2"/>
  <c r="J444" i="2"/>
  <c r="K444" i="2"/>
  <c r="L444" i="2"/>
  <c r="M444" i="2" s="1"/>
  <c r="N444" i="2"/>
  <c r="P444" i="2"/>
  <c r="Q444" i="2"/>
  <c r="R444" i="2"/>
  <c r="S444" i="2" s="1"/>
  <c r="C445" i="2"/>
  <c r="D445" i="2"/>
  <c r="E445" i="2"/>
  <c r="F445" i="2" s="1"/>
  <c r="H445" i="2"/>
  <c r="I445" i="2"/>
  <c r="J445" i="2"/>
  <c r="K445" i="2"/>
  <c r="L445" i="2"/>
  <c r="M445" i="2" s="1"/>
  <c r="N445" i="2"/>
  <c r="P445" i="2"/>
  <c r="Q445" i="2"/>
  <c r="R445" i="2"/>
  <c r="S445" i="2" s="1"/>
  <c r="C446" i="2"/>
  <c r="D446" i="2"/>
  <c r="E446" i="2"/>
  <c r="F446" i="2" s="1"/>
  <c r="G446" i="2"/>
  <c r="H446" i="2"/>
  <c r="I446" i="2"/>
  <c r="J446" i="2"/>
  <c r="K446" i="2"/>
  <c r="L446" i="2"/>
  <c r="M446" i="2" s="1"/>
  <c r="N446" i="2"/>
  <c r="P446" i="2"/>
  <c r="Q446" i="2"/>
  <c r="R446" i="2"/>
  <c r="S446" i="2" s="1"/>
  <c r="C447" i="2"/>
  <c r="D447" i="2"/>
  <c r="E447" i="2"/>
  <c r="H447" i="2"/>
  <c r="I447" i="2"/>
  <c r="J447" i="2"/>
  <c r="K447" i="2"/>
  <c r="L447" i="2"/>
  <c r="M447" i="2" s="1"/>
  <c r="N447" i="2"/>
  <c r="P447" i="2"/>
  <c r="Q447" i="2"/>
  <c r="R447" i="2"/>
  <c r="S447" i="2" s="1"/>
  <c r="C448" i="2"/>
  <c r="D448" i="2"/>
  <c r="E448" i="2"/>
  <c r="H448" i="2"/>
  <c r="I448" i="2"/>
  <c r="J448" i="2"/>
  <c r="K448" i="2"/>
  <c r="L448" i="2"/>
  <c r="M448" i="2" s="1"/>
  <c r="N448" i="2"/>
  <c r="P448" i="2"/>
  <c r="Q448" i="2"/>
  <c r="R448" i="2"/>
  <c r="S448" i="2" s="1"/>
  <c r="C449" i="2"/>
  <c r="D449" i="2"/>
  <c r="E449" i="2"/>
  <c r="H449" i="2"/>
  <c r="I449" i="2"/>
  <c r="J449" i="2"/>
  <c r="K449" i="2"/>
  <c r="L449" i="2"/>
  <c r="M449" i="2" s="1"/>
  <c r="N449" i="2"/>
  <c r="P449" i="2"/>
  <c r="Q449" i="2"/>
  <c r="R449" i="2"/>
  <c r="S449" i="2" s="1"/>
  <c r="C450" i="2"/>
  <c r="D450" i="2"/>
  <c r="E450" i="2"/>
  <c r="H450" i="2"/>
  <c r="I450" i="2"/>
  <c r="J450" i="2"/>
  <c r="K450" i="2"/>
  <c r="L450" i="2"/>
  <c r="M450" i="2" s="1"/>
  <c r="N450" i="2"/>
  <c r="P450" i="2"/>
  <c r="Q450" i="2"/>
  <c r="R450" i="2"/>
  <c r="S450" i="2" s="1"/>
  <c r="C451" i="2"/>
  <c r="D451" i="2"/>
  <c r="E451" i="2"/>
  <c r="G451" i="2" s="1"/>
  <c r="H451" i="2"/>
  <c r="I451" i="2"/>
  <c r="J451" i="2"/>
  <c r="K451" i="2"/>
  <c r="L451" i="2"/>
  <c r="M451" i="2" s="1"/>
  <c r="N451" i="2"/>
  <c r="P451" i="2"/>
  <c r="Q451" i="2"/>
  <c r="R451" i="2"/>
  <c r="S451" i="2" s="1"/>
  <c r="C452" i="2"/>
  <c r="D452" i="2"/>
  <c r="E452" i="2"/>
  <c r="H452" i="2"/>
  <c r="I452" i="2"/>
  <c r="J452" i="2"/>
  <c r="K452" i="2"/>
  <c r="L452" i="2"/>
  <c r="M452" i="2" s="1"/>
  <c r="N452" i="2"/>
  <c r="P452" i="2"/>
  <c r="Q452" i="2"/>
  <c r="R452" i="2"/>
  <c r="S452" i="2" s="1"/>
  <c r="C453" i="2"/>
  <c r="D453" i="2"/>
  <c r="E453" i="2"/>
  <c r="F453" i="2" s="1"/>
  <c r="G453" i="2"/>
  <c r="H453" i="2"/>
  <c r="I453" i="2"/>
  <c r="J453" i="2"/>
  <c r="K453" i="2"/>
  <c r="L453" i="2"/>
  <c r="M453" i="2" s="1"/>
  <c r="N453" i="2"/>
  <c r="P453" i="2"/>
  <c r="Q453" i="2"/>
  <c r="R453" i="2"/>
  <c r="S453" i="2" s="1"/>
  <c r="C454" i="2"/>
  <c r="D454" i="2"/>
  <c r="E454" i="2"/>
  <c r="H454" i="2"/>
  <c r="I454" i="2"/>
  <c r="J454" i="2"/>
  <c r="K454" i="2"/>
  <c r="L454" i="2"/>
  <c r="M454" i="2" s="1"/>
  <c r="N454" i="2"/>
  <c r="P454" i="2"/>
  <c r="Q454" i="2"/>
  <c r="R454" i="2"/>
  <c r="S454" i="2" s="1"/>
  <c r="C455" i="2"/>
  <c r="D455" i="2"/>
  <c r="E455" i="2"/>
  <c r="H455" i="2"/>
  <c r="I455" i="2"/>
  <c r="J455" i="2"/>
  <c r="K455" i="2"/>
  <c r="L455" i="2"/>
  <c r="M455" i="2" s="1"/>
  <c r="N455" i="2"/>
  <c r="P455" i="2"/>
  <c r="Q455" i="2"/>
  <c r="R455" i="2"/>
  <c r="S455" i="2" s="1"/>
  <c r="C456" i="2"/>
  <c r="D456" i="2"/>
  <c r="E456" i="2"/>
  <c r="H456" i="2"/>
  <c r="I456" i="2"/>
  <c r="J456" i="2"/>
  <c r="K456" i="2"/>
  <c r="L456" i="2"/>
  <c r="M456" i="2" s="1"/>
  <c r="N456" i="2"/>
  <c r="P456" i="2"/>
  <c r="Q456" i="2"/>
  <c r="R456" i="2"/>
  <c r="S456" i="2" s="1"/>
  <c r="C457" i="2"/>
  <c r="D457" i="2"/>
  <c r="E457" i="2"/>
  <c r="H457" i="2"/>
  <c r="I457" i="2"/>
  <c r="J457" i="2"/>
  <c r="K457" i="2"/>
  <c r="L457" i="2"/>
  <c r="M457" i="2" s="1"/>
  <c r="N457" i="2"/>
  <c r="P457" i="2"/>
  <c r="Q457" i="2"/>
  <c r="R457" i="2"/>
  <c r="S457" i="2" s="1"/>
  <c r="C458" i="2"/>
  <c r="D458" i="2"/>
  <c r="E458" i="2"/>
  <c r="G458" i="2" s="1"/>
  <c r="O458" i="2" s="1"/>
  <c r="H458" i="2"/>
  <c r="I458" i="2"/>
  <c r="J458" i="2"/>
  <c r="K458" i="2"/>
  <c r="L458" i="2"/>
  <c r="M458" i="2" s="1"/>
  <c r="N458" i="2"/>
  <c r="P458" i="2"/>
  <c r="Q458" i="2"/>
  <c r="R458" i="2"/>
  <c r="S458" i="2" s="1"/>
  <c r="C459" i="2"/>
  <c r="D459" i="2"/>
  <c r="E459" i="2"/>
  <c r="G459" i="2" s="1"/>
  <c r="H459" i="2"/>
  <c r="I459" i="2"/>
  <c r="J459" i="2"/>
  <c r="K459" i="2"/>
  <c r="L459" i="2"/>
  <c r="M459" i="2" s="1"/>
  <c r="N459" i="2"/>
  <c r="P459" i="2"/>
  <c r="Q459" i="2"/>
  <c r="R459" i="2"/>
  <c r="S459" i="2" s="1"/>
  <c r="C460" i="2"/>
  <c r="D460" i="2"/>
  <c r="E460" i="2"/>
  <c r="H460" i="2"/>
  <c r="I460" i="2"/>
  <c r="J460" i="2"/>
  <c r="K460" i="2"/>
  <c r="L460" i="2"/>
  <c r="M460" i="2" s="1"/>
  <c r="N460" i="2"/>
  <c r="P460" i="2"/>
  <c r="Q460" i="2"/>
  <c r="R460" i="2"/>
  <c r="S460" i="2" s="1"/>
  <c r="C461" i="2"/>
  <c r="D461" i="2"/>
  <c r="E461" i="2"/>
  <c r="F461" i="2" s="1"/>
  <c r="H461" i="2"/>
  <c r="I461" i="2"/>
  <c r="J461" i="2"/>
  <c r="K461" i="2"/>
  <c r="L461" i="2"/>
  <c r="M461" i="2" s="1"/>
  <c r="N461" i="2"/>
  <c r="P461" i="2"/>
  <c r="Q461" i="2"/>
  <c r="R461" i="2"/>
  <c r="S461" i="2"/>
  <c r="C462" i="2"/>
  <c r="D462" i="2"/>
  <c r="E462" i="2"/>
  <c r="F462" i="2"/>
  <c r="G462" i="2"/>
  <c r="H462" i="2"/>
  <c r="I462" i="2"/>
  <c r="J462" i="2"/>
  <c r="K462" i="2"/>
  <c r="L462" i="2"/>
  <c r="M462" i="2" s="1"/>
  <c r="N462" i="2"/>
  <c r="P462" i="2"/>
  <c r="Q462" i="2"/>
  <c r="R462" i="2"/>
  <c r="S462" i="2" s="1"/>
  <c r="C463" i="2"/>
  <c r="D463" i="2"/>
  <c r="E463" i="2"/>
  <c r="H463" i="2"/>
  <c r="I463" i="2"/>
  <c r="J463" i="2"/>
  <c r="K463" i="2"/>
  <c r="L463" i="2"/>
  <c r="M463" i="2" s="1"/>
  <c r="N463" i="2"/>
  <c r="P463" i="2"/>
  <c r="Q463" i="2"/>
  <c r="R463" i="2"/>
  <c r="S463" i="2" s="1"/>
  <c r="C464" i="2"/>
  <c r="D464" i="2"/>
  <c r="E464" i="2"/>
  <c r="H464" i="2"/>
  <c r="I464" i="2"/>
  <c r="J464" i="2"/>
  <c r="K464" i="2"/>
  <c r="L464" i="2"/>
  <c r="M464" i="2"/>
  <c r="N464" i="2"/>
  <c r="P464" i="2"/>
  <c r="Q464" i="2"/>
  <c r="R464" i="2"/>
  <c r="S464" i="2" s="1"/>
  <c r="C465" i="2"/>
  <c r="D465" i="2"/>
  <c r="E465" i="2"/>
  <c r="F465" i="2" s="1"/>
  <c r="G465" i="2"/>
  <c r="H465" i="2"/>
  <c r="I465" i="2"/>
  <c r="J465" i="2"/>
  <c r="K465" i="2"/>
  <c r="L465" i="2"/>
  <c r="M465" i="2" s="1"/>
  <c r="N465" i="2"/>
  <c r="P465" i="2"/>
  <c r="Q465" i="2"/>
  <c r="R465" i="2"/>
  <c r="S465" i="2" s="1"/>
  <c r="C466" i="2"/>
  <c r="D466" i="2"/>
  <c r="E466" i="2"/>
  <c r="H466" i="2"/>
  <c r="I466" i="2"/>
  <c r="J466" i="2"/>
  <c r="K466" i="2"/>
  <c r="L466" i="2"/>
  <c r="M466" i="2" s="1"/>
  <c r="N466" i="2"/>
  <c r="P466" i="2"/>
  <c r="Q466" i="2"/>
  <c r="R466" i="2"/>
  <c r="S466" i="2" s="1"/>
  <c r="C467" i="2"/>
  <c r="D467" i="2"/>
  <c r="E467" i="2"/>
  <c r="G467" i="2" s="1"/>
  <c r="H467" i="2"/>
  <c r="I467" i="2"/>
  <c r="J467" i="2"/>
  <c r="K467" i="2"/>
  <c r="L467" i="2"/>
  <c r="M467" i="2" s="1"/>
  <c r="N467" i="2"/>
  <c r="P467" i="2"/>
  <c r="Q467" i="2"/>
  <c r="R467" i="2"/>
  <c r="S467" i="2" s="1"/>
  <c r="C468" i="2"/>
  <c r="D468" i="2"/>
  <c r="E468" i="2"/>
  <c r="H468" i="2"/>
  <c r="I468" i="2"/>
  <c r="J468" i="2"/>
  <c r="K468" i="2"/>
  <c r="L468" i="2"/>
  <c r="M468" i="2" s="1"/>
  <c r="N468" i="2"/>
  <c r="P468" i="2"/>
  <c r="Q468" i="2"/>
  <c r="R468" i="2"/>
  <c r="S468" i="2" s="1"/>
  <c r="C469" i="2"/>
  <c r="D469" i="2"/>
  <c r="E469" i="2"/>
  <c r="F469" i="2" s="1"/>
  <c r="H469" i="2"/>
  <c r="I469" i="2"/>
  <c r="J469" i="2"/>
  <c r="K469" i="2"/>
  <c r="L469" i="2"/>
  <c r="M469" i="2" s="1"/>
  <c r="N469" i="2"/>
  <c r="P469" i="2"/>
  <c r="Q469" i="2"/>
  <c r="R469" i="2"/>
  <c r="S469" i="2" s="1"/>
  <c r="C470" i="2"/>
  <c r="D470" i="2"/>
  <c r="E470" i="2"/>
  <c r="H470" i="2"/>
  <c r="I470" i="2"/>
  <c r="J470" i="2"/>
  <c r="K470" i="2"/>
  <c r="L470" i="2"/>
  <c r="M470" i="2" s="1"/>
  <c r="N470" i="2"/>
  <c r="P470" i="2"/>
  <c r="Q470" i="2"/>
  <c r="R470" i="2"/>
  <c r="S470" i="2" s="1"/>
  <c r="C471" i="2"/>
  <c r="D471" i="2"/>
  <c r="E471" i="2"/>
  <c r="H471" i="2"/>
  <c r="I471" i="2"/>
  <c r="J471" i="2"/>
  <c r="K471" i="2"/>
  <c r="L471" i="2"/>
  <c r="M471" i="2"/>
  <c r="N471" i="2"/>
  <c r="P471" i="2"/>
  <c r="Q471" i="2"/>
  <c r="R471" i="2"/>
  <c r="S471" i="2" s="1"/>
  <c r="C472" i="2"/>
  <c r="D472" i="2"/>
  <c r="E472" i="2"/>
  <c r="H472" i="2"/>
  <c r="I472" i="2"/>
  <c r="J472" i="2"/>
  <c r="K472" i="2"/>
  <c r="L472" i="2"/>
  <c r="M472" i="2" s="1"/>
  <c r="N472" i="2"/>
  <c r="P472" i="2"/>
  <c r="Q472" i="2"/>
  <c r="R472" i="2"/>
  <c r="S472" i="2" s="1"/>
  <c r="C473" i="2"/>
  <c r="D473" i="2"/>
  <c r="E473" i="2"/>
  <c r="H473" i="2"/>
  <c r="I473" i="2"/>
  <c r="J473" i="2"/>
  <c r="K473" i="2"/>
  <c r="L473" i="2"/>
  <c r="M473" i="2" s="1"/>
  <c r="N473" i="2"/>
  <c r="P473" i="2"/>
  <c r="Q473" i="2"/>
  <c r="R473" i="2"/>
  <c r="S473" i="2" s="1"/>
  <c r="C474" i="2"/>
  <c r="D474" i="2"/>
  <c r="E474" i="2"/>
  <c r="F474" i="2" s="1"/>
  <c r="G474" i="2"/>
  <c r="H474" i="2"/>
  <c r="I474" i="2"/>
  <c r="J474" i="2"/>
  <c r="K474" i="2"/>
  <c r="L474" i="2"/>
  <c r="M474" i="2" s="1"/>
  <c r="N474" i="2"/>
  <c r="P474" i="2"/>
  <c r="Q474" i="2"/>
  <c r="R474" i="2"/>
  <c r="S474" i="2" s="1"/>
  <c r="C475" i="2"/>
  <c r="D475" i="2"/>
  <c r="E475" i="2"/>
  <c r="G475" i="2" s="1"/>
  <c r="H475" i="2"/>
  <c r="I475" i="2"/>
  <c r="J475" i="2"/>
  <c r="K475" i="2"/>
  <c r="L475" i="2"/>
  <c r="M475" i="2"/>
  <c r="N475" i="2"/>
  <c r="P475" i="2"/>
  <c r="Q475" i="2"/>
  <c r="R475" i="2"/>
  <c r="S475" i="2" s="1"/>
  <c r="C476" i="2"/>
  <c r="D476" i="2"/>
  <c r="E476" i="2"/>
  <c r="H476" i="2"/>
  <c r="I476" i="2"/>
  <c r="J476" i="2"/>
  <c r="K476" i="2"/>
  <c r="L476" i="2"/>
  <c r="M476" i="2" s="1"/>
  <c r="N476" i="2"/>
  <c r="P476" i="2"/>
  <c r="Q476" i="2"/>
  <c r="R476" i="2"/>
  <c r="S476" i="2" s="1"/>
  <c r="C477" i="2"/>
  <c r="D477" i="2"/>
  <c r="E477" i="2"/>
  <c r="F477" i="2" s="1"/>
  <c r="G477" i="2"/>
  <c r="O477" i="2" s="1"/>
  <c r="H477" i="2"/>
  <c r="I477" i="2"/>
  <c r="J477" i="2"/>
  <c r="K477" i="2"/>
  <c r="L477" i="2"/>
  <c r="M477" i="2" s="1"/>
  <c r="N477" i="2"/>
  <c r="P477" i="2"/>
  <c r="Q477" i="2"/>
  <c r="R477" i="2"/>
  <c r="S477" i="2"/>
  <c r="C478" i="2"/>
  <c r="D478" i="2"/>
  <c r="E478" i="2"/>
  <c r="F478" i="2" s="1"/>
  <c r="H478" i="2"/>
  <c r="I478" i="2"/>
  <c r="J478" i="2"/>
  <c r="K478" i="2"/>
  <c r="L478" i="2"/>
  <c r="M478" i="2" s="1"/>
  <c r="N478" i="2"/>
  <c r="P478" i="2"/>
  <c r="Q478" i="2"/>
  <c r="R478" i="2"/>
  <c r="S478" i="2" s="1"/>
  <c r="C479" i="2"/>
  <c r="D479" i="2"/>
  <c r="E479" i="2"/>
  <c r="H479" i="2"/>
  <c r="I479" i="2"/>
  <c r="J479" i="2"/>
  <c r="K479" i="2"/>
  <c r="L479" i="2"/>
  <c r="M479" i="2" s="1"/>
  <c r="N479" i="2"/>
  <c r="P479" i="2"/>
  <c r="Q479" i="2"/>
  <c r="R479" i="2"/>
  <c r="S479" i="2" s="1"/>
  <c r="C480" i="2"/>
  <c r="D480" i="2"/>
  <c r="E480" i="2"/>
  <c r="H480" i="2"/>
  <c r="I480" i="2"/>
  <c r="J480" i="2"/>
  <c r="K480" i="2"/>
  <c r="L480" i="2"/>
  <c r="M480" i="2" s="1"/>
  <c r="N480" i="2"/>
  <c r="P480" i="2"/>
  <c r="Q480" i="2"/>
  <c r="R480" i="2"/>
  <c r="S480" i="2" s="1"/>
  <c r="C481" i="2"/>
  <c r="D481" i="2"/>
  <c r="E481" i="2"/>
  <c r="H481" i="2"/>
  <c r="I481" i="2"/>
  <c r="J481" i="2"/>
  <c r="K481" i="2"/>
  <c r="L481" i="2"/>
  <c r="M481" i="2" s="1"/>
  <c r="N481" i="2"/>
  <c r="P481" i="2"/>
  <c r="Q481" i="2"/>
  <c r="R481" i="2"/>
  <c r="S481" i="2" s="1"/>
  <c r="C482" i="2"/>
  <c r="D482" i="2"/>
  <c r="E482" i="2"/>
  <c r="H482" i="2"/>
  <c r="I482" i="2"/>
  <c r="J482" i="2"/>
  <c r="K482" i="2"/>
  <c r="L482" i="2"/>
  <c r="M482" i="2" s="1"/>
  <c r="N482" i="2"/>
  <c r="P482" i="2"/>
  <c r="Q482" i="2"/>
  <c r="R482" i="2"/>
  <c r="S482" i="2"/>
  <c r="C483" i="2"/>
  <c r="D483" i="2"/>
  <c r="E483" i="2"/>
  <c r="G483" i="2" s="1"/>
  <c r="H483" i="2"/>
  <c r="I483" i="2"/>
  <c r="J483" i="2"/>
  <c r="K483" i="2"/>
  <c r="L483" i="2"/>
  <c r="M483" i="2" s="1"/>
  <c r="N483" i="2"/>
  <c r="P483" i="2"/>
  <c r="Q483" i="2"/>
  <c r="R483" i="2"/>
  <c r="S483" i="2" s="1"/>
  <c r="C484" i="2"/>
  <c r="D484" i="2"/>
  <c r="E484" i="2"/>
  <c r="H484" i="2"/>
  <c r="I484" i="2"/>
  <c r="J484" i="2"/>
  <c r="K484" i="2"/>
  <c r="L484" i="2"/>
  <c r="M484" i="2" s="1"/>
  <c r="N484" i="2"/>
  <c r="P484" i="2"/>
  <c r="Q484" i="2"/>
  <c r="R484" i="2"/>
  <c r="S484" i="2" s="1"/>
  <c r="C485" i="2"/>
  <c r="D485" i="2"/>
  <c r="E485" i="2"/>
  <c r="F485" i="2" s="1"/>
  <c r="H485" i="2"/>
  <c r="I485" i="2"/>
  <c r="J485" i="2"/>
  <c r="K485" i="2"/>
  <c r="L485" i="2"/>
  <c r="M485" i="2" s="1"/>
  <c r="N485" i="2"/>
  <c r="P485" i="2"/>
  <c r="Q485" i="2"/>
  <c r="R485" i="2"/>
  <c r="S485" i="2" s="1"/>
  <c r="C486" i="2"/>
  <c r="D486" i="2"/>
  <c r="E486" i="2"/>
  <c r="H486" i="2"/>
  <c r="I486" i="2"/>
  <c r="J486" i="2"/>
  <c r="K486" i="2"/>
  <c r="L486" i="2"/>
  <c r="M486" i="2" s="1"/>
  <c r="N486" i="2"/>
  <c r="P486" i="2"/>
  <c r="Q486" i="2"/>
  <c r="R486" i="2"/>
  <c r="S486" i="2" s="1"/>
  <c r="C487" i="2"/>
  <c r="D487" i="2"/>
  <c r="E487" i="2"/>
  <c r="H487" i="2"/>
  <c r="I487" i="2"/>
  <c r="J487" i="2"/>
  <c r="K487" i="2"/>
  <c r="L487" i="2"/>
  <c r="M487" i="2"/>
  <c r="N487" i="2"/>
  <c r="P487" i="2"/>
  <c r="Q487" i="2"/>
  <c r="R487" i="2"/>
  <c r="S487" i="2" s="1"/>
  <c r="C488" i="2"/>
  <c r="D488" i="2"/>
  <c r="E488" i="2"/>
  <c r="G488" i="2" s="1"/>
  <c r="H488" i="2"/>
  <c r="I488" i="2"/>
  <c r="J488" i="2"/>
  <c r="K488" i="2"/>
  <c r="L488" i="2"/>
  <c r="M488" i="2" s="1"/>
  <c r="N488" i="2"/>
  <c r="P488" i="2"/>
  <c r="Q488" i="2"/>
  <c r="R488" i="2"/>
  <c r="S488" i="2" s="1"/>
  <c r="C489" i="2"/>
  <c r="D489" i="2"/>
  <c r="E489" i="2"/>
  <c r="H489" i="2"/>
  <c r="I489" i="2"/>
  <c r="J489" i="2"/>
  <c r="K489" i="2"/>
  <c r="L489" i="2"/>
  <c r="M489" i="2" s="1"/>
  <c r="N489" i="2"/>
  <c r="P489" i="2"/>
  <c r="Q489" i="2"/>
  <c r="R489" i="2"/>
  <c r="S489" i="2" s="1"/>
  <c r="C490" i="2"/>
  <c r="D490" i="2"/>
  <c r="E490" i="2"/>
  <c r="G490" i="2" s="1"/>
  <c r="H490" i="2"/>
  <c r="I490" i="2"/>
  <c r="J490" i="2"/>
  <c r="K490" i="2"/>
  <c r="L490" i="2"/>
  <c r="M490" i="2" s="1"/>
  <c r="N490" i="2"/>
  <c r="P490" i="2"/>
  <c r="Q490" i="2"/>
  <c r="R490" i="2"/>
  <c r="S490" i="2" s="1"/>
  <c r="C491" i="2"/>
  <c r="D491" i="2"/>
  <c r="E491" i="2"/>
  <c r="G491" i="2" s="1"/>
  <c r="F491" i="2"/>
  <c r="H491" i="2"/>
  <c r="I491" i="2"/>
  <c r="J491" i="2"/>
  <c r="K491" i="2"/>
  <c r="L491" i="2"/>
  <c r="M491" i="2" s="1"/>
  <c r="N491" i="2"/>
  <c r="P491" i="2"/>
  <c r="Q491" i="2"/>
  <c r="R491" i="2"/>
  <c r="S491" i="2" s="1"/>
  <c r="C492" i="2"/>
  <c r="D492" i="2"/>
  <c r="E492" i="2"/>
  <c r="H492" i="2"/>
  <c r="I492" i="2"/>
  <c r="J492" i="2"/>
  <c r="K492" i="2"/>
  <c r="L492" i="2"/>
  <c r="M492" i="2"/>
  <c r="N492" i="2"/>
  <c r="P492" i="2"/>
  <c r="Q492" i="2"/>
  <c r="R492" i="2"/>
  <c r="S492" i="2" s="1"/>
  <c r="C493" i="2"/>
  <c r="D493" i="2"/>
  <c r="E493" i="2"/>
  <c r="F493" i="2" s="1"/>
  <c r="G493" i="2"/>
  <c r="O493" i="2" s="1"/>
  <c r="H493" i="2"/>
  <c r="I493" i="2"/>
  <c r="J493" i="2"/>
  <c r="K493" i="2"/>
  <c r="L493" i="2"/>
  <c r="M493" i="2" s="1"/>
  <c r="N493" i="2"/>
  <c r="P493" i="2"/>
  <c r="Q493" i="2"/>
  <c r="R493" i="2"/>
  <c r="S493" i="2" s="1"/>
  <c r="C494" i="2"/>
  <c r="D494" i="2"/>
  <c r="E494" i="2"/>
  <c r="H494" i="2"/>
  <c r="I494" i="2"/>
  <c r="J494" i="2"/>
  <c r="K494" i="2"/>
  <c r="L494" i="2"/>
  <c r="M494" i="2" s="1"/>
  <c r="N494" i="2"/>
  <c r="P494" i="2"/>
  <c r="Q494" i="2"/>
  <c r="R494" i="2"/>
  <c r="S494" i="2" s="1"/>
  <c r="C495" i="2"/>
  <c r="D495" i="2"/>
  <c r="E495" i="2"/>
  <c r="H495" i="2"/>
  <c r="I495" i="2"/>
  <c r="J495" i="2"/>
  <c r="K495" i="2"/>
  <c r="L495" i="2"/>
  <c r="M495" i="2" s="1"/>
  <c r="N495" i="2"/>
  <c r="P495" i="2"/>
  <c r="Q495" i="2"/>
  <c r="R495" i="2"/>
  <c r="S495" i="2" s="1"/>
  <c r="C496" i="2"/>
  <c r="D496" i="2"/>
  <c r="E496" i="2"/>
  <c r="H496" i="2"/>
  <c r="I496" i="2"/>
  <c r="J496" i="2"/>
  <c r="K496" i="2"/>
  <c r="L496" i="2"/>
  <c r="M496" i="2" s="1"/>
  <c r="N496" i="2"/>
  <c r="P496" i="2"/>
  <c r="Q496" i="2"/>
  <c r="R496" i="2"/>
  <c r="S496" i="2" s="1"/>
  <c r="C497" i="2"/>
  <c r="D497" i="2"/>
  <c r="E497" i="2"/>
  <c r="H497" i="2"/>
  <c r="I497" i="2"/>
  <c r="J497" i="2"/>
  <c r="K497" i="2"/>
  <c r="L497" i="2"/>
  <c r="M497" i="2" s="1"/>
  <c r="N497" i="2"/>
  <c r="P497" i="2"/>
  <c r="Q497" i="2"/>
  <c r="R497" i="2"/>
  <c r="S497" i="2" s="1"/>
  <c r="C498" i="2"/>
  <c r="D498" i="2"/>
  <c r="E498" i="2"/>
  <c r="F498" i="2" s="1"/>
  <c r="H498" i="2"/>
  <c r="I498" i="2"/>
  <c r="J498" i="2"/>
  <c r="K498" i="2"/>
  <c r="L498" i="2"/>
  <c r="M498" i="2" s="1"/>
  <c r="N498" i="2"/>
  <c r="P498" i="2"/>
  <c r="Q498" i="2"/>
  <c r="R498" i="2"/>
  <c r="S498" i="2" s="1"/>
  <c r="C499" i="2"/>
  <c r="D499" i="2"/>
  <c r="E499" i="2"/>
  <c r="F499" i="2" s="1"/>
  <c r="G499" i="2"/>
  <c r="H499" i="2"/>
  <c r="I499" i="2"/>
  <c r="J499" i="2"/>
  <c r="K499" i="2"/>
  <c r="L499" i="2"/>
  <c r="M499" i="2" s="1"/>
  <c r="N499" i="2"/>
  <c r="P499" i="2"/>
  <c r="Q499" i="2"/>
  <c r="R499" i="2"/>
  <c r="S499" i="2" s="1"/>
  <c r="C500" i="2"/>
  <c r="D500" i="2"/>
  <c r="E500" i="2"/>
  <c r="H500" i="2"/>
  <c r="I500" i="2"/>
  <c r="J500" i="2"/>
  <c r="K500" i="2"/>
  <c r="L500" i="2"/>
  <c r="M500" i="2"/>
  <c r="N500" i="2"/>
  <c r="P500" i="2"/>
  <c r="Q500" i="2"/>
  <c r="R500" i="2"/>
  <c r="S500" i="2" s="1"/>
  <c r="C501" i="2"/>
  <c r="D501" i="2"/>
  <c r="E501" i="2"/>
  <c r="H501" i="2"/>
  <c r="I501" i="2"/>
  <c r="J501" i="2"/>
  <c r="K501" i="2"/>
  <c r="L501" i="2"/>
  <c r="M501" i="2" s="1"/>
  <c r="N501" i="2"/>
  <c r="P501" i="2"/>
  <c r="Q501" i="2"/>
  <c r="R501" i="2"/>
  <c r="S501" i="2" s="1"/>
  <c r="C502" i="2"/>
  <c r="D502" i="2"/>
  <c r="E502" i="2"/>
  <c r="F502" i="2" s="1"/>
  <c r="H502" i="2"/>
  <c r="I502" i="2"/>
  <c r="J502" i="2"/>
  <c r="K502" i="2"/>
  <c r="L502" i="2"/>
  <c r="M502" i="2" s="1"/>
  <c r="N502" i="2"/>
  <c r="P502" i="2"/>
  <c r="Q502" i="2"/>
  <c r="R502" i="2"/>
  <c r="S502" i="2"/>
  <c r="C503" i="2"/>
  <c r="D503" i="2"/>
  <c r="E503" i="2"/>
  <c r="F503" i="2" s="1"/>
  <c r="H503" i="2"/>
  <c r="I503" i="2"/>
  <c r="J503" i="2"/>
  <c r="K503" i="2"/>
  <c r="L503" i="2"/>
  <c r="M503" i="2" s="1"/>
  <c r="N503" i="2"/>
  <c r="P503" i="2"/>
  <c r="Q503" i="2"/>
  <c r="R503" i="2"/>
  <c r="S503" i="2" s="1"/>
  <c r="C504" i="2"/>
  <c r="D504" i="2"/>
  <c r="E504" i="2"/>
  <c r="H504" i="2"/>
  <c r="I504" i="2"/>
  <c r="J504" i="2"/>
  <c r="K504" i="2"/>
  <c r="L504" i="2"/>
  <c r="M504" i="2" s="1"/>
  <c r="N504" i="2"/>
  <c r="P504" i="2"/>
  <c r="Q504" i="2"/>
  <c r="R504" i="2"/>
  <c r="S504" i="2" s="1"/>
  <c r="C505" i="2"/>
  <c r="D505" i="2"/>
  <c r="E505" i="2"/>
  <c r="H505" i="2"/>
  <c r="I505" i="2"/>
  <c r="J505" i="2"/>
  <c r="K505" i="2"/>
  <c r="L505" i="2"/>
  <c r="M505" i="2" s="1"/>
  <c r="N505" i="2"/>
  <c r="P505" i="2"/>
  <c r="Q505" i="2"/>
  <c r="R505" i="2"/>
  <c r="S505" i="2" s="1"/>
  <c r="C506" i="2"/>
  <c r="D506" i="2"/>
  <c r="E506" i="2"/>
  <c r="H506" i="2"/>
  <c r="I506" i="2"/>
  <c r="J506" i="2"/>
  <c r="K506" i="2"/>
  <c r="L506" i="2"/>
  <c r="M506" i="2" s="1"/>
  <c r="N506" i="2"/>
  <c r="P506" i="2"/>
  <c r="Q506" i="2"/>
  <c r="R506" i="2"/>
  <c r="S506" i="2"/>
  <c r="C507" i="2"/>
  <c r="D507" i="2"/>
  <c r="E507" i="2"/>
  <c r="G507" i="2" s="1"/>
  <c r="O507" i="2" s="1"/>
  <c r="F507" i="2"/>
  <c r="H507" i="2"/>
  <c r="I507" i="2"/>
  <c r="J507" i="2"/>
  <c r="K507" i="2"/>
  <c r="L507" i="2"/>
  <c r="M507" i="2" s="1"/>
  <c r="N507" i="2"/>
  <c r="P507" i="2"/>
  <c r="Q507" i="2"/>
  <c r="R507" i="2"/>
  <c r="S507" i="2"/>
  <c r="C508" i="2"/>
  <c r="D508" i="2"/>
  <c r="E508" i="2"/>
  <c r="G508" i="2" s="1"/>
  <c r="H508" i="2"/>
  <c r="I508" i="2"/>
  <c r="J508" i="2"/>
  <c r="K508" i="2"/>
  <c r="L508" i="2"/>
  <c r="M508" i="2"/>
  <c r="N508" i="2"/>
  <c r="P508" i="2"/>
  <c r="Q508" i="2"/>
  <c r="R508" i="2"/>
  <c r="S508" i="2" s="1"/>
  <c r="C509" i="2"/>
  <c r="D509" i="2"/>
  <c r="E509" i="2"/>
  <c r="H509" i="2"/>
  <c r="I509" i="2"/>
  <c r="J509" i="2"/>
  <c r="K509" i="2"/>
  <c r="L509" i="2"/>
  <c r="M509" i="2" s="1"/>
  <c r="N509" i="2"/>
  <c r="P509" i="2"/>
  <c r="Q509" i="2"/>
  <c r="R509" i="2"/>
  <c r="S509" i="2" s="1"/>
  <c r="C510" i="2"/>
  <c r="D510" i="2"/>
  <c r="E510" i="2"/>
  <c r="F510" i="2" s="1"/>
  <c r="G510" i="2"/>
  <c r="O510" i="2" s="1"/>
  <c r="H510" i="2"/>
  <c r="I510" i="2"/>
  <c r="J510" i="2"/>
  <c r="K510" i="2"/>
  <c r="L510" i="2"/>
  <c r="M510" i="2" s="1"/>
  <c r="N510" i="2"/>
  <c r="P510" i="2"/>
  <c r="Q510" i="2"/>
  <c r="R510" i="2"/>
  <c r="S510" i="2" s="1"/>
  <c r="C511" i="2"/>
  <c r="D511" i="2"/>
  <c r="E511" i="2"/>
  <c r="H511" i="2"/>
  <c r="I511" i="2"/>
  <c r="J511" i="2"/>
  <c r="K511" i="2"/>
  <c r="L511" i="2"/>
  <c r="M511" i="2" s="1"/>
  <c r="N511" i="2"/>
  <c r="P511" i="2"/>
  <c r="Q511" i="2"/>
  <c r="R511" i="2"/>
  <c r="S511" i="2" s="1"/>
  <c r="C512" i="2"/>
  <c r="D512" i="2"/>
  <c r="E512" i="2"/>
  <c r="G512" i="2" s="1"/>
  <c r="F512" i="2"/>
  <c r="H512" i="2"/>
  <c r="I512" i="2"/>
  <c r="J512" i="2"/>
  <c r="K512" i="2"/>
  <c r="L512" i="2"/>
  <c r="M512" i="2" s="1"/>
  <c r="N512" i="2"/>
  <c r="P512" i="2"/>
  <c r="Q512" i="2"/>
  <c r="R512" i="2"/>
  <c r="S512" i="2" s="1"/>
  <c r="C513" i="2"/>
  <c r="D513" i="2"/>
  <c r="E513" i="2"/>
  <c r="H513" i="2"/>
  <c r="I513" i="2"/>
  <c r="J513" i="2"/>
  <c r="K513" i="2"/>
  <c r="L513" i="2"/>
  <c r="M513" i="2" s="1"/>
  <c r="N513" i="2"/>
  <c r="P513" i="2"/>
  <c r="Q513" i="2"/>
  <c r="R513" i="2"/>
  <c r="S513" i="2" s="1"/>
  <c r="C514" i="2"/>
  <c r="D514" i="2"/>
  <c r="E514" i="2"/>
  <c r="F514" i="2" s="1"/>
  <c r="H514" i="2"/>
  <c r="I514" i="2"/>
  <c r="J514" i="2"/>
  <c r="K514" i="2"/>
  <c r="L514" i="2"/>
  <c r="M514" i="2" s="1"/>
  <c r="N514" i="2"/>
  <c r="P514" i="2"/>
  <c r="Q514" i="2"/>
  <c r="R514" i="2"/>
  <c r="S514" i="2" s="1"/>
  <c r="C515" i="2"/>
  <c r="D515" i="2"/>
  <c r="E515" i="2"/>
  <c r="G515" i="2" s="1"/>
  <c r="F515" i="2"/>
  <c r="H515" i="2"/>
  <c r="I515" i="2"/>
  <c r="J515" i="2"/>
  <c r="K515" i="2"/>
  <c r="L515" i="2"/>
  <c r="M515" i="2" s="1"/>
  <c r="N515" i="2"/>
  <c r="P515" i="2"/>
  <c r="Q515" i="2"/>
  <c r="R515" i="2"/>
  <c r="S515" i="2"/>
  <c r="C516" i="2"/>
  <c r="D516" i="2"/>
  <c r="E516" i="2"/>
  <c r="H516" i="2"/>
  <c r="I516" i="2"/>
  <c r="J516" i="2"/>
  <c r="K516" i="2"/>
  <c r="L516" i="2"/>
  <c r="M516" i="2" s="1"/>
  <c r="N516" i="2"/>
  <c r="P516" i="2"/>
  <c r="Q516" i="2"/>
  <c r="R516" i="2"/>
  <c r="S516" i="2" s="1"/>
  <c r="C517" i="2"/>
  <c r="D517" i="2"/>
  <c r="E517" i="2"/>
  <c r="H517" i="2"/>
  <c r="I517" i="2"/>
  <c r="J517" i="2"/>
  <c r="K517" i="2"/>
  <c r="L517" i="2"/>
  <c r="M517" i="2" s="1"/>
  <c r="N517" i="2"/>
  <c r="P517" i="2"/>
  <c r="Q517" i="2"/>
  <c r="R517" i="2"/>
  <c r="S517" i="2" s="1"/>
  <c r="C518" i="2"/>
  <c r="D518" i="2"/>
  <c r="E518" i="2"/>
  <c r="H518" i="2"/>
  <c r="I518" i="2"/>
  <c r="J518" i="2"/>
  <c r="K518" i="2"/>
  <c r="L518" i="2"/>
  <c r="M518" i="2" s="1"/>
  <c r="N518" i="2"/>
  <c r="P518" i="2"/>
  <c r="Q518" i="2"/>
  <c r="R518" i="2"/>
  <c r="S518" i="2" s="1"/>
  <c r="C519" i="2"/>
  <c r="D519" i="2"/>
  <c r="E519" i="2"/>
  <c r="H519" i="2"/>
  <c r="I519" i="2"/>
  <c r="J519" i="2"/>
  <c r="K519" i="2"/>
  <c r="L519" i="2"/>
  <c r="M519" i="2" s="1"/>
  <c r="N519" i="2"/>
  <c r="P519" i="2"/>
  <c r="Q519" i="2"/>
  <c r="R519" i="2"/>
  <c r="S519" i="2"/>
  <c r="C520" i="2"/>
  <c r="D520" i="2"/>
  <c r="E520" i="2"/>
  <c r="G520" i="2" s="1"/>
  <c r="F520" i="2"/>
  <c r="H520" i="2"/>
  <c r="I520" i="2"/>
  <c r="J520" i="2"/>
  <c r="K520" i="2"/>
  <c r="L520" i="2"/>
  <c r="M520" i="2" s="1"/>
  <c r="N520" i="2"/>
  <c r="P520" i="2"/>
  <c r="Q520" i="2"/>
  <c r="R520" i="2"/>
  <c r="S520" i="2" s="1"/>
  <c r="C521" i="2"/>
  <c r="D521" i="2"/>
  <c r="E521" i="2"/>
  <c r="H521" i="2"/>
  <c r="I521" i="2"/>
  <c r="J521" i="2"/>
  <c r="K521" i="2"/>
  <c r="L521" i="2"/>
  <c r="M521" i="2"/>
  <c r="N521" i="2"/>
  <c r="P521" i="2"/>
  <c r="Q521" i="2"/>
  <c r="R521" i="2"/>
  <c r="S521" i="2" s="1"/>
  <c r="C522" i="2"/>
  <c r="D522" i="2"/>
  <c r="E522" i="2"/>
  <c r="F522" i="2" s="1"/>
  <c r="H522" i="2"/>
  <c r="I522" i="2"/>
  <c r="J522" i="2"/>
  <c r="K522" i="2"/>
  <c r="L522" i="2"/>
  <c r="M522" i="2" s="1"/>
  <c r="N522" i="2"/>
  <c r="P522" i="2"/>
  <c r="Q522" i="2"/>
  <c r="R522" i="2"/>
  <c r="S522" i="2" s="1"/>
  <c r="C523" i="2"/>
  <c r="D523" i="2"/>
  <c r="E523" i="2"/>
  <c r="H523" i="2"/>
  <c r="I523" i="2"/>
  <c r="J523" i="2"/>
  <c r="K523" i="2"/>
  <c r="L523" i="2"/>
  <c r="M523" i="2" s="1"/>
  <c r="N523" i="2"/>
  <c r="P523" i="2"/>
  <c r="Q523" i="2"/>
  <c r="R523" i="2"/>
  <c r="S523" i="2"/>
  <c r="C524" i="2"/>
  <c r="D524" i="2"/>
  <c r="E524" i="2"/>
  <c r="G524" i="2" s="1"/>
  <c r="H524" i="2"/>
  <c r="I524" i="2"/>
  <c r="J524" i="2"/>
  <c r="K524" i="2"/>
  <c r="L524" i="2"/>
  <c r="M524" i="2" s="1"/>
  <c r="N524" i="2"/>
  <c r="P524" i="2"/>
  <c r="Q524" i="2"/>
  <c r="R524" i="2"/>
  <c r="S524" i="2" s="1"/>
  <c r="C525" i="2"/>
  <c r="D525" i="2"/>
  <c r="E525" i="2"/>
  <c r="H525" i="2"/>
  <c r="I525" i="2"/>
  <c r="J525" i="2"/>
  <c r="K525" i="2"/>
  <c r="L525" i="2"/>
  <c r="M525" i="2" s="1"/>
  <c r="N525" i="2"/>
  <c r="P525" i="2"/>
  <c r="Q525" i="2"/>
  <c r="R525" i="2"/>
  <c r="S525" i="2" s="1"/>
  <c r="C526" i="2"/>
  <c r="D526" i="2"/>
  <c r="E526" i="2"/>
  <c r="F526" i="2" s="1"/>
  <c r="G526" i="2"/>
  <c r="H526" i="2"/>
  <c r="I526" i="2"/>
  <c r="J526" i="2"/>
  <c r="K526" i="2"/>
  <c r="L526" i="2"/>
  <c r="M526" i="2" s="1"/>
  <c r="N526" i="2"/>
  <c r="P526" i="2"/>
  <c r="Q526" i="2"/>
  <c r="R526" i="2"/>
  <c r="S526" i="2" s="1"/>
  <c r="C527" i="2"/>
  <c r="D527" i="2"/>
  <c r="E527" i="2"/>
  <c r="H527" i="2"/>
  <c r="I527" i="2"/>
  <c r="J527" i="2"/>
  <c r="K527" i="2"/>
  <c r="L527" i="2"/>
  <c r="M527" i="2" s="1"/>
  <c r="N527" i="2"/>
  <c r="P527" i="2"/>
  <c r="Q527" i="2"/>
  <c r="R527" i="2"/>
  <c r="S527" i="2" s="1"/>
  <c r="C528" i="2"/>
  <c r="D528" i="2"/>
  <c r="E528" i="2"/>
  <c r="H528" i="2"/>
  <c r="I528" i="2"/>
  <c r="J528" i="2"/>
  <c r="K528" i="2"/>
  <c r="L528" i="2"/>
  <c r="M528" i="2"/>
  <c r="N528" i="2"/>
  <c r="P528" i="2"/>
  <c r="Q528" i="2"/>
  <c r="R528" i="2"/>
  <c r="S528" i="2" s="1"/>
  <c r="C529" i="2"/>
  <c r="D529" i="2"/>
  <c r="E529" i="2"/>
  <c r="H529" i="2"/>
  <c r="I529" i="2"/>
  <c r="J529" i="2"/>
  <c r="K529" i="2"/>
  <c r="L529" i="2"/>
  <c r="M529" i="2" s="1"/>
  <c r="N529" i="2"/>
  <c r="P529" i="2"/>
  <c r="Q529" i="2"/>
  <c r="R529" i="2"/>
  <c r="S529" i="2" s="1"/>
  <c r="C530" i="2"/>
  <c r="D530" i="2"/>
  <c r="E530" i="2"/>
  <c r="H530" i="2"/>
  <c r="I530" i="2"/>
  <c r="J530" i="2"/>
  <c r="K530" i="2"/>
  <c r="L530" i="2"/>
  <c r="M530" i="2" s="1"/>
  <c r="N530" i="2"/>
  <c r="P530" i="2"/>
  <c r="Q530" i="2"/>
  <c r="R530" i="2"/>
  <c r="S530" i="2" s="1"/>
  <c r="C531" i="2"/>
  <c r="D531" i="2"/>
  <c r="E531" i="2"/>
  <c r="F531" i="2" s="1"/>
  <c r="G531" i="2"/>
  <c r="H531" i="2"/>
  <c r="I531" i="2"/>
  <c r="J531" i="2"/>
  <c r="K531" i="2"/>
  <c r="L531" i="2"/>
  <c r="M531" i="2" s="1"/>
  <c r="N531" i="2"/>
  <c r="P531" i="2"/>
  <c r="Q531" i="2"/>
  <c r="R531" i="2"/>
  <c r="S531" i="2" s="1"/>
  <c r="C532" i="2"/>
  <c r="D532" i="2"/>
  <c r="E532" i="2"/>
  <c r="H532" i="2"/>
  <c r="I532" i="2"/>
  <c r="J532" i="2"/>
  <c r="K532" i="2"/>
  <c r="L532" i="2"/>
  <c r="M532" i="2" s="1"/>
  <c r="N532" i="2"/>
  <c r="P532" i="2"/>
  <c r="Q532" i="2"/>
  <c r="R532" i="2"/>
  <c r="S532" i="2" s="1"/>
  <c r="C533" i="2"/>
  <c r="D533" i="2"/>
  <c r="E533" i="2"/>
  <c r="H533" i="2"/>
  <c r="I533" i="2"/>
  <c r="J533" i="2"/>
  <c r="K533" i="2"/>
  <c r="L533" i="2"/>
  <c r="M533" i="2" s="1"/>
  <c r="N533" i="2"/>
  <c r="P533" i="2"/>
  <c r="Q533" i="2"/>
  <c r="R533" i="2"/>
  <c r="S533" i="2" s="1"/>
  <c r="C534" i="2"/>
  <c r="D534" i="2"/>
  <c r="E534" i="2"/>
  <c r="H534" i="2"/>
  <c r="I534" i="2"/>
  <c r="J534" i="2"/>
  <c r="K534" i="2"/>
  <c r="L534" i="2"/>
  <c r="M534" i="2" s="1"/>
  <c r="N534" i="2"/>
  <c r="P534" i="2"/>
  <c r="Q534" i="2"/>
  <c r="R534" i="2"/>
  <c r="S534" i="2"/>
  <c r="C535" i="2"/>
  <c r="D535" i="2"/>
  <c r="E535" i="2"/>
  <c r="F535" i="2"/>
  <c r="G535" i="2"/>
  <c r="O535" i="2" s="1"/>
  <c r="H535" i="2"/>
  <c r="I535" i="2"/>
  <c r="J535" i="2"/>
  <c r="K535" i="2"/>
  <c r="L535" i="2"/>
  <c r="M535" i="2" s="1"/>
  <c r="N535" i="2"/>
  <c r="P535" i="2"/>
  <c r="Q535" i="2"/>
  <c r="R535" i="2"/>
  <c r="S535" i="2"/>
  <c r="C536" i="2"/>
  <c r="D536" i="2"/>
  <c r="E536" i="2"/>
  <c r="H536" i="2"/>
  <c r="I536" i="2"/>
  <c r="J536" i="2"/>
  <c r="K536" i="2"/>
  <c r="L536" i="2"/>
  <c r="M536" i="2" s="1"/>
  <c r="N536" i="2"/>
  <c r="P536" i="2"/>
  <c r="Q536" i="2"/>
  <c r="R536" i="2"/>
  <c r="S536" i="2" s="1"/>
  <c r="C537" i="2"/>
  <c r="D537" i="2"/>
  <c r="E537" i="2"/>
  <c r="H537" i="2"/>
  <c r="I537" i="2"/>
  <c r="J537" i="2"/>
  <c r="K537" i="2"/>
  <c r="L537" i="2"/>
  <c r="M537" i="2" s="1"/>
  <c r="N537" i="2"/>
  <c r="P537" i="2"/>
  <c r="Q537" i="2"/>
  <c r="R537" i="2"/>
  <c r="S537" i="2" s="1"/>
  <c r="C538" i="2"/>
  <c r="D538" i="2"/>
  <c r="E538" i="2"/>
  <c r="H538" i="2"/>
  <c r="I538" i="2"/>
  <c r="J538" i="2"/>
  <c r="K538" i="2"/>
  <c r="L538" i="2"/>
  <c r="M538" i="2" s="1"/>
  <c r="N538" i="2"/>
  <c r="P538" i="2"/>
  <c r="Q538" i="2"/>
  <c r="R538" i="2"/>
  <c r="S538" i="2" s="1"/>
  <c r="C539" i="2"/>
  <c r="D539" i="2"/>
  <c r="E539" i="2"/>
  <c r="F539" i="2"/>
  <c r="G539" i="2"/>
  <c r="H539" i="2"/>
  <c r="I539" i="2"/>
  <c r="J539" i="2"/>
  <c r="K539" i="2"/>
  <c r="L539" i="2"/>
  <c r="M539" i="2" s="1"/>
  <c r="N539" i="2"/>
  <c r="P539" i="2"/>
  <c r="Q539" i="2"/>
  <c r="R539" i="2"/>
  <c r="S539" i="2"/>
  <c r="C540" i="2"/>
  <c r="D540" i="2"/>
  <c r="E540" i="2"/>
  <c r="G540" i="2" s="1"/>
  <c r="H540" i="2"/>
  <c r="I540" i="2"/>
  <c r="J540" i="2"/>
  <c r="K540" i="2"/>
  <c r="L540" i="2"/>
  <c r="M540" i="2" s="1"/>
  <c r="N540" i="2"/>
  <c r="P540" i="2"/>
  <c r="Q540" i="2"/>
  <c r="R540" i="2"/>
  <c r="S540" i="2" s="1"/>
  <c r="C541" i="2"/>
  <c r="D541" i="2"/>
  <c r="E541" i="2"/>
  <c r="H541" i="2"/>
  <c r="I541" i="2"/>
  <c r="J541" i="2"/>
  <c r="K541" i="2"/>
  <c r="L541" i="2"/>
  <c r="M541" i="2" s="1"/>
  <c r="N541" i="2"/>
  <c r="P541" i="2"/>
  <c r="Q541" i="2"/>
  <c r="R541" i="2"/>
  <c r="S541" i="2" s="1"/>
  <c r="C542" i="2"/>
  <c r="D542" i="2"/>
  <c r="E542" i="2"/>
  <c r="H542" i="2"/>
  <c r="I542" i="2"/>
  <c r="J542" i="2"/>
  <c r="K542" i="2"/>
  <c r="L542" i="2"/>
  <c r="M542" i="2" s="1"/>
  <c r="N542" i="2"/>
  <c r="P542" i="2"/>
  <c r="Q542" i="2"/>
  <c r="R542" i="2"/>
  <c r="S542" i="2" s="1"/>
  <c r="C543" i="2"/>
  <c r="D543" i="2"/>
  <c r="E543" i="2"/>
  <c r="F543" i="2" s="1"/>
  <c r="G543" i="2"/>
  <c r="H543" i="2"/>
  <c r="I543" i="2"/>
  <c r="J543" i="2"/>
  <c r="K543" i="2"/>
  <c r="L543" i="2"/>
  <c r="M543" i="2" s="1"/>
  <c r="N543" i="2"/>
  <c r="P543" i="2"/>
  <c r="Q543" i="2"/>
  <c r="R543" i="2"/>
  <c r="S543" i="2" s="1"/>
  <c r="C544" i="2"/>
  <c r="D544" i="2"/>
  <c r="E544" i="2"/>
  <c r="H544" i="2"/>
  <c r="I544" i="2"/>
  <c r="J544" i="2"/>
  <c r="K544" i="2"/>
  <c r="L544" i="2"/>
  <c r="M544" i="2" s="1"/>
  <c r="N544" i="2"/>
  <c r="P544" i="2"/>
  <c r="Q544" i="2"/>
  <c r="R544" i="2"/>
  <c r="S544" i="2" s="1"/>
  <c r="C545" i="2"/>
  <c r="D545" i="2"/>
  <c r="E545" i="2"/>
  <c r="H545" i="2"/>
  <c r="I545" i="2"/>
  <c r="J545" i="2"/>
  <c r="K545" i="2"/>
  <c r="L545" i="2"/>
  <c r="M545" i="2" s="1"/>
  <c r="N545" i="2"/>
  <c r="P545" i="2"/>
  <c r="Q545" i="2"/>
  <c r="R545" i="2"/>
  <c r="S545" i="2" s="1"/>
  <c r="C546" i="2"/>
  <c r="D546" i="2"/>
  <c r="E546" i="2"/>
  <c r="F546" i="2" s="1"/>
  <c r="G546" i="2"/>
  <c r="H546" i="2"/>
  <c r="I546" i="2"/>
  <c r="J546" i="2"/>
  <c r="K546" i="2"/>
  <c r="L546" i="2"/>
  <c r="M546" i="2" s="1"/>
  <c r="N546" i="2"/>
  <c r="P546" i="2"/>
  <c r="Q546" i="2"/>
  <c r="R546" i="2"/>
  <c r="S546" i="2" s="1"/>
  <c r="C547" i="2"/>
  <c r="D547" i="2"/>
  <c r="E547" i="2"/>
  <c r="H547" i="2"/>
  <c r="I547" i="2"/>
  <c r="J547" i="2"/>
  <c r="K547" i="2"/>
  <c r="L547" i="2"/>
  <c r="M547" i="2" s="1"/>
  <c r="N547" i="2"/>
  <c r="P547" i="2"/>
  <c r="Q547" i="2"/>
  <c r="R547" i="2"/>
  <c r="S547" i="2" s="1"/>
  <c r="C548" i="2"/>
  <c r="D548" i="2"/>
  <c r="E548" i="2"/>
  <c r="G548" i="2" s="1"/>
  <c r="F548" i="2"/>
  <c r="H548" i="2"/>
  <c r="I548" i="2"/>
  <c r="J548" i="2"/>
  <c r="K548" i="2"/>
  <c r="L548" i="2"/>
  <c r="M548" i="2" s="1"/>
  <c r="N548" i="2"/>
  <c r="P548" i="2"/>
  <c r="Q548" i="2"/>
  <c r="R548" i="2"/>
  <c r="S548" i="2" s="1"/>
  <c r="C549" i="2"/>
  <c r="D549" i="2"/>
  <c r="E549" i="2"/>
  <c r="H549" i="2"/>
  <c r="I549" i="2"/>
  <c r="J549" i="2"/>
  <c r="K549" i="2"/>
  <c r="L549" i="2"/>
  <c r="M549" i="2" s="1"/>
  <c r="N549" i="2"/>
  <c r="P549" i="2"/>
  <c r="Q549" i="2"/>
  <c r="R549" i="2"/>
  <c r="S549" i="2" s="1"/>
  <c r="C550" i="2"/>
  <c r="D550" i="2"/>
  <c r="E550" i="2"/>
  <c r="H550" i="2"/>
  <c r="I550" i="2"/>
  <c r="J550" i="2"/>
  <c r="K550" i="2"/>
  <c r="L550" i="2"/>
  <c r="M550" i="2" s="1"/>
  <c r="N550" i="2"/>
  <c r="P550" i="2"/>
  <c r="Q550" i="2"/>
  <c r="R550" i="2"/>
  <c r="S550" i="2" s="1"/>
  <c r="C551" i="2"/>
  <c r="D551" i="2"/>
  <c r="E551" i="2"/>
  <c r="H551" i="2"/>
  <c r="I551" i="2"/>
  <c r="J551" i="2"/>
  <c r="K551" i="2"/>
  <c r="L551" i="2"/>
  <c r="M551" i="2" s="1"/>
  <c r="N551" i="2"/>
  <c r="P551" i="2"/>
  <c r="Q551" i="2"/>
  <c r="R551" i="2"/>
  <c r="S551" i="2" s="1"/>
  <c r="C552" i="2"/>
  <c r="D552" i="2"/>
  <c r="E552" i="2"/>
  <c r="H552" i="2"/>
  <c r="I552" i="2"/>
  <c r="J552" i="2"/>
  <c r="K552" i="2"/>
  <c r="L552" i="2"/>
  <c r="M552" i="2" s="1"/>
  <c r="N552" i="2"/>
  <c r="P552" i="2"/>
  <c r="Q552" i="2"/>
  <c r="R552" i="2"/>
  <c r="S552" i="2" s="1"/>
  <c r="C553" i="2"/>
  <c r="D553" i="2"/>
  <c r="E553" i="2"/>
  <c r="H553" i="2"/>
  <c r="I553" i="2"/>
  <c r="J553" i="2"/>
  <c r="K553" i="2"/>
  <c r="L553" i="2"/>
  <c r="M553" i="2" s="1"/>
  <c r="N553" i="2"/>
  <c r="P553" i="2"/>
  <c r="Q553" i="2"/>
  <c r="R553" i="2"/>
  <c r="S553" i="2" s="1"/>
  <c r="C554" i="2"/>
  <c r="D554" i="2"/>
  <c r="E554" i="2"/>
  <c r="F554" i="2" s="1"/>
  <c r="H554" i="2"/>
  <c r="I554" i="2"/>
  <c r="J554" i="2"/>
  <c r="K554" i="2"/>
  <c r="L554" i="2"/>
  <c r="M554" i="2" s="1"/>
  <c r="N554" i="2"/>
  <c r="P554" i="2"/>
  <c r="Q554" i="2"/>
  <c r="R554" i="2"/>
  <c r="S554" i="2" s="1"/>
  <c r="C555" i="2"/>
  <c r="D555" i="2"/>
  <c r="E555" i="2"/>
  <c r="H555" i="2"/>
  <c r="I555" i="2"/>
  <c r="J555" i="2"/>
  <c r="K555" i="2"/>
  <c r="L555" i="2"/>
  <c r="M555" i="2" s="1"/>
  <c r="N555" i="2"/>
  <c r="P555" i="2"/>
  <c r="Q555" i="2"/>
  <c r="R555" i="2"/>
  <c r="S555" i="2" s="1"/>
  <c r="C556" i="2"/>
  <c r="D556" i="2"/>
  <c r="E556" i="2"/>
  <c r="H556" i="2"/>
  <c r="I556" i="2"/>
  <c r="J556" i="2"/>
  <c r="K556" i="2"/>
  <c r="L556" i="2"/>
  <c r="M556" i="2" s="1"/>
  <c r="N556" i="2"/>
  <c r="P556" i="2"/>
  <c r="Q556" i="2"/>
  <c r="R556" i="2"/>
  <c r="S556" i="2" s="1"/>
  <c r="C557" i="2"/>
  <c r="D557" i="2"/>
  <c r="E557" i="2"/>
  <c r="H557" i="2"/>
  <c r="I557" i="2"/>
  <c r="J557" i="2"/>
  <c r="K557" i="2"/>
  <c r="L557" i="2"/>
  <c r="M557" i="2" s="1"/>
  <c r="N557" i="2"/>
  <c r="P557" i="2"/>
  <c r="Q557" i="2"/>
  <c r="R557" i="2"/>
  <c r="S557" i="2" s="1"/>
  <c r="C558" i="2"/>
  <c r="D558" i="2"/>
  <c r="E558" i="2"/>
  <c r="F558" i="2" s="1"/>
  <c r="H558" i="2"/>
  <c r="I558" i="2"/>
  <c r="J558" i="2"/>
  <c r="K558" i="2"/>
  <c r="L558" i="2"/>
  <c r="M558" i="2" s="1"/>
  <c r="N558" i="2"/>
  <c r="P558" i="2"/>
  <c r="Q558" i="2"/>
  <c r="R558" i="2"/>
  <c r="S558" i="2" s="1"/>
  <c r="C559" i="2"/>
  <c r="D559" i="2"/>
  <c r="E559" i="2"/>
  <c r="H559" i="2"/>
  <c r="I559" i="2"/>
  <c r="J559" i="2"/>
  <c r="K559" i="2"/>
  <c r="L559" i="2"/>
  <c r="M559" i="2" s="1"/>
  <c r="N559" i="2"/>
  <c r="P559" i="2"/>
  <c r="Q559" i="2"/>
  <c r="R559" i="2"/>
  <c r="S559" i="2" s="1"/>
  <c r="C560" i="2"/>
  <c r="D560" i="2"/>
  <c r="E560" i="2"/>
  <c r="H560" i="2"/>
  <c r="I560" i="2"/>
  <c r="J560" i="2"/>
  <c r="K560" i="2"/>
  <c r="L560" i="2"/>
  <c r="M560" i="2" s="1"/>
  <c r="N560" i="2"/>
  <c r="P560" i="2"/>
  <c r="Q560" i="2"/>
  <c r="R560" i="2"/>
  <c r="S560" i="2" s="1"/>
  <c r="C561" i="2"/>
  <c r="D561" i="2"/>
  <c r="E561" i="2"/>
  <c r="H561" i="2"/>
  <c r="I561" i="2"/>
  <c r="J561" i="2"/>
  <c r="K561" i="2"/>
  <c r="L561" i="2"/>
  <c r="M561" i="2"/>
  <c r="N561" i="2"/>
  <c r="P561" i="2"/>
  <c r="Q561" i="2"/>
  <c r="R561" i="2"/>
  <c r="S561" i="2" s="1"/>
  <c r="C562" i="2"/>
  <c r="D562" i="2"/>
  <c r="E562" i="2"/>
  <c r="F562" i="2" s="1"/>
  <c r="G562" i="2"/>
  <c r="O562" i="2" s="1"/>
  <c r="H562" i="2"/>
  <c r="I562" i="2"/>
  <c r="J562" i="2"/>
  <c r="K562" i="2"/>
  <c r="L562" i="2"/>
  <c r="M562" i="2" s="1"/>
  <c r="N562" i="2"/>
  <c r="P562" i="2"/>
  <c r="Q562" i="2"/>
  <c r="R562" i="2"/>
  <c r="S562" i="2" s="1"/>
  <c r="C563" i="2"/>
  <c r="D563" i="2"/>
  <c r="E563" i="2"/>
  <c r="H563" i="2"/>
  <c r="I563" i="2"/>
  <c r="J563" i="2"/>
  <c r="K563" i="2"/>
  <c r="L563" i="2"/>
  <c r="M563" i="2" s="1"/>
  <c r="N563" i="2"/>
  <c r="P563" i="2"/>
  <c r="Q563" i="2"/>
  <c r="R563" i="2"/>
  <c r="S563" i="2" s="1"/>
  <c r="C564" i="2"/>
  <c r="D564" i="2"/>
  <c r="E564" i="2"/>
  <c r="H564" i="2"/>
  <c r="I564" i="2"/>
  <c r="J564" i="2"/>
  <c r="K564" i="2"/>
  <c r="L564" i="2"/>
  <c r="M564" i="2" s="1"/>
  <c r="N564" i="2"/>
  <c r="P564" i="2"/>
  <c r="Q564" i="2"/>
  <c r="R564" i="2"/>
  <c r="S564" i="2" s="1"/>
  <c r="C565" i="2"/>
  <c r="D565" i="2"/>
  <c r="E565" i="2"/>
  <c r="H565" i="2"/>
  <c r="I565" i="2"/>
  <c r="J565" i="2"/>
  <c r="K565" i="2"/>
  <c r="L565" i="2"/>
  <c r="M565" i="2" s="1"/>
  <c r="N565" i="2"/>
  <c r="P565" i="2"/>
  <c r="Q565" i="2"/>
  <c r="R565" i="2"/>
  <c r="S565" i="2" s="1"/>
  <c r="C566" i="2"/>
  <c r="D566" i="2"/>
  <c r="E566" i="2"/>
  <c r="F566" i="2" s="1"/>
  <c r="H566" i="2"/>
  <c r="I566" i="2"/>
  <c r="J566" i="2"/>
  <c r="K566" i="2"/>
  <c r="L566" i="2"/>
  <c r="M566" i="2" s="1"/>
  <c r="N566" i="2"/>
  <c r="P566" i="2"/>
  <c r="Q566" i="2"/>
  <c r="R566" i="2"/>
  <c r="S566" i="2" s="1"/>
  <c r="C567" i="2"/>
  <c r="D567" i="2"/>
  <c r="E567" i="2"/>
  <c r="F567" i="2" s="1"/>
  <c r="G567" i="2"/>
  <c r="O567" i="2" s="1"/>
  <c r="H567" i="2"/>
  <c r="I567" i="2"/>
  <c r="J567" i="2"/>
  <c r="K567" i="2"/>
  <c r="L567" i="2"/>
  <c r="M567" i="2" s="1"/>
  <c r="N567" i="2"/>
  <c r="P567" i="2"/>
  <c r="Q567" i="2"/>
  <c r="R567" i="2"/>
  <c r="S567" i="2" s="1"/>
  <c r="C568" i="2"/>
  <c r="D568" i="2"/>
  <c r="E568" i="2"/>
  <c r="G568" i="2" s="1"/>
  <c r="H568" i="2"/>
  <c r="I568" i="2"/>
  <c r="J568" i="2"/>
  <c r="K568" i="2"/>
  <c r="L568" i="2"/>
  <c r="M568" i="2" s="1"/>
  <c r="N568" i="2"/>
  <c r="P568" i="2"/>
  <c r="Q568" i="2"/>
  <c r="R568" i="2"/>
  <c r="S568" i="2" s="1"/>
  <c r="C569" i="2"/>
  <c r="D569" i="2"/>
  <c r="E569" i="2"/>
  <c r="H569" i="2"/>
  <c r="I569" i="2"/>
  <c r="J569" i="2"/>
  <c r="K569" i="2"/>
  <c r="L569" i="2"/>
  <c r="M569" i="2" s="1"/>
  <c r="N569" i="2"/>
  <c r="P569" i="2"/>
  <c r="Q569" i="2"/>
  <c r="R569" i="2"/>
  <c r="S569" i="2" s="1"/>
  <c r="C570" i="2"/>
  <c r="D570" i="2"/>
  <c r="E570" i="2"/>
  <c r="H570" i="2"/>
  <c r="I570" i="2"/>
  <c r="J570" i="2"/>
  <c r="K570" i="2"/>
  <c r="L570" i="2"/>
  <c r="M570" i="2" s="1"/>
  <c r="N570" i="2"/>
  <c r="P570" i="2"/>
  <c r="Q570" i="2"/>
  <c r="R570" i="2"/>
  <c r="S570" i="2" s="1"/>
  <c r="C571" i="2"/>
  <c r="D571" i="2"/>
  <c r="E571" i="2"/>
  <c r="F571" i="2"/>
  <c r="G571" i="2"/>
  <c r="O571" i="2" s="1"/>
  <c r="H571" i="2"/>
  <c r="I571" i="2"/>
  <c r="J571" i="2"/>
  <c r="K571" i="2"/>
  <c r="L571" i="2"/>
  <c r="M571" i="2" s="1"/>
  <c r="N571" i="2"/>
  <c r="P571" i="2"/>
  <c r="Q571" i="2"/>
  <c r="R571" i="2"/>
  <c r="S571" i="2" s="1"/>
  <c r="C572" i="2"/>
  <c r="D572" i="2"/>
  <c r="E572" i="2"/>
  <c r="G572" i="2" s="1"/>
  <c r="H572" i="2"/>
  <c r="I572" i="2"/>
  <c r="J572" i="2"/>
  <c r="K572" i="2"/>
  <c r="L572" i="2"/>
  <c r="M572" i="2" s="1"/>
  <c r="N572" i="2"/>
  <c r="P572" i="2"/>
  <c r="Q572" i="2"/>
  <c r="R572" i="2"/>
  <c r="S572" i="2" s="1"/>
  <c r="C573" i="2"/>
  <c r="D573" i="2"/>
  <c r="E573" i="2"/>
  <c r="H573" i="2"/>
  <c r="I573" i="2"/>
  <c r="J573" i="2"/>
  <c r="K573" i="2"/>
  <c r="L573" i="2"/>
  <c r="M573" i="2" s="1"/>
  <c r="N573" i="2"/>
  <c r="P573" i="2"/>
  <c r="Q573" i="2"/>
  <c r="R573" i="2"/>
  <c r="S573" i="2" s="1"/>
  <c r="C574" i="2"/>
  <c r="D574" i="2"/>
  <c r="E574" i="2"/>
  <c r="F574" i="2" s="1"/>
  <c r="H574" i="2"/>
  <c r="I574" i="2"/>
  <c r="J574" i="2"/>
  <c r="K574" i="2"/>
  <c r="L574" i="2"/>
  <c r="M574" i="2" s="1"/>
  <c r="N574" i="2"/>
  <c r="P574" i="2"/>
  <c r="Q574" i="2"/>
  <c r="R574" i="2"/>
  <c r="S574" i="2" s="1"/>
  <c r="C575" i="2"/>
  <c r="D575" i="2"/>
  <c r="E575" i="2"/>
  <c r="F575" i="2"/>
  <c r="G575" i="2"/>
  <c r="H575" i="2"/>
  <c r="I575" i="2"/>
  <c r="J575" i="2"/>
  <c r="K575" i="2"/>
  <c r="L575" i="2"/>
  <c r="M575" i="2" s="1"/>
  <c r="N575" i="2"/>
  <c r="P575" i="2"/>
  <c r="Q575" i="2"/>
  <c r="R575" i="2"/>
  <c r="S575" i="2"/>
  <c r="C576" i="2"/>
  <c r="D576" i="2"/>
  <c r="E576" i="2"/>
  <c r="H576" i="2"/>
  <c r="I576" i="2"/>
  <c r="J576" i="2"/>
  <c r="K576" i="2"/>
  <c r="L576" i="2"/>
  <c r="M576" i="2" s="1"/>
  <c r="N576" i="2"/>
  <c r="P576" i="2"/>
  <c r="Q576" i="2"/>
  <c r="R576" i="2"/>
  <c r="S576" i="2" s="1"/>
  <c r="C577" i="2"/>
  <c r="D577" i="2"/>
  <c r="E577" i="2"/>
  <c r="H577" i="2"/>
  <c r="I577" i="2"/>
  <c r="J577" i="2"/>
  <c r="K577" i="2"/>
  <c r="L577" i="2"/>
  <c r="M577" i="2" s="1"/>
  <c r="N577" i="2"/>
  <c r="P577" i="2"/>
  <c r="Q577" i="2"/>
  <c r="R577" i="2"/>
  <c r="S577" i="2" s="1"/>
  <c r="C578" i="2"/>
  <c r="D578" i="2"/>
  <c r="E578" i="2"/>
  <c r="F578" i="2" s="1"/>
  <c r="H578" i="2"/>
  <c r="I578" i="2"/>
  <c r="J578" i="2"/>
  <c r="K578" i="2"/>
  <c r="L578" i="2"/>
  <c r="M578" i="2" s="1"/>
  <c r="N578" i="2"/>
  <c r="P578" i="2"/>
  <c r="Q578" i="2"/>
  <c r="R578" i="2"/>
  <c r="S578" i="2"/>
  <c r="C579" i="2"/>
  <c r="D579" i="2"/>
  <c r="E579" i="2"/>
  <c r="G579" i="2" s="1"/>
  <c r="H579" i="2"/>
  <c r="I579" i="2"/>
  <c r="J579" i="2"/>
  <c r="K579" i="2"/>
  <c r="L579" i="2"/>
  <c r="M579" i="2" s="1"/>
  <c r="N579" i="2"/>
  <c r="P579" i="2"/>
  <c r="Q579" i="2"/>
  <c r="R579" i="2"/>
  <c r="S579" i="2" s="1"/>
  <c r="C580" i="2"/>
  <c r="D580" i="2"/>
  <c r="E580" i="2"/>
  <c r="H580" i="2"/>
  <c r="I580" i="2"/>
  <c r="J580" i="2"/>
  <c r="K580" i="2"/>
  <c r="L580" i="2"/>
  <c r="M580" i="2" s="1"/>
  <c r="N580" i="2"/>
  <c r="P580" i="2"/>
  <c r="Q580" i="2"/>
  <c r="R580" i="2"/>
  <c r="S580" i="2" s="1"/>
  <c r="C581" i="2"/>
  <c r="D581" i="2"/>
  <c r="E581" i="2"/>
  <c r="H581" i="2"/>
  <c r="I581" i="2"/>
  <c r="J581" i="2"/>
  <c r="K581" i="2"/>
  <c r="L581" i="2"/>
  <c r="M581" i="2" s="1"/>
  <c r="N581" i="2"/>
  <c r="P581" i="2"/>
  <c r="Q581" i="2"/>
  <c r="R581" i="2"/>
  <c r="S581" i="2" s="1"/>
  <c r="C582" i="2"/>
  <c r="D582" i="2"/>
  <c r="E582" i="2"/>
  <c r="H582" i="2"/>
  <c r="I582" i="2"/>
  <c r="J582" i="2"/>
  <c r="K582" i="2"/>
  <c r="L582" i="2"/>
  <c r="M582" i="2" s="1"/>
  <c r="N582" i="2"/>
  <c r="P582" i="2"/>
  <c r="Q582" i="2"/>
  <c r="R582" i="2"/>
  <c r="S582" i="2" s="1"/>
  <c r="C583" i="2"/>
  <c r="D583" i="2"/>
  <c r="E583" i="2"/>
  <c r="G583" i="2" s="1"/>
  <c r="O583" i="2" s="1"/>
  <c r="H583" i="2"/>
  <c r="I583" i="2"/>
  <c r="J583" i="2"/>
  <c r="K583" i="2"/>
  <c r="L583" i="2"/>
  <c r="M583" i="2" s="1"/>
  <c r="N583" i="2"/>
  <c r="P583" i="2"/>
  <c r="Q583" i="2"/>
  <c r="R583" i="2"/>
  <c r="S583" i="2"/>
  <c r="C584" i="2"/>
  <c r="D584" i="2"/>
  <c r="E584" i="2"/>
  <c r="G584" i="2" s="1"/>
  <c r="F584" i="2"/>
  <c r="H584" i="2"/>
  <c r="I584" i="2"/>
  <c r="J584" i="2"/>
  <c r="K584" i="2"/>
  <c r="L584" i="2"/>
  <c r="M584" i="2" s="1"/>
  <c r="N584" i="2"/>
  <c r="P584" i="2"/>
  <c r="Q584" i="2"/>
  <c r="R584" i="2"/>
  <c r="S584" i="2" s="1"/>
  <c r="C585" i="2"/>
  <c r="D585" i="2"/>
  <c r="E585" i="2"/>
  <c r="H585" i="2"/>
  <c r="I585" i="2"/>
  <c r="J585" i="2"/>
  <c r="K585" i="2"/>
  <c r="L585" i="2"/>
  <c r="M585" i="2"/>
  <c r="N585" i="2"/>
  <c r="P585" i="2"/>
  <c r="Q585" i="2"/>
  <c r="R585" i="2"/>
  <c r="S585" i="2" s="1"/>
  <c r="C586" i="2"/>
  <c r="D586" i="2"/>
  <c r="E586" i="2"/>
  <c r="F586" i="2" s="1"/>
  <c r="H586" i="2"/>
  <c r="I586" i="2"/>
  <c r="J586" i="2"/>
  <c r="K586" i="2"/>
  <c r="L586" i="2"/>
  <c r="M586" i="2" s="1"/>
  <c r="N586" i="2"/>
  <c r="P586" i="2"/>
  <c r="Q586" i="2"/>
  <c r="R586" i="2"/>
  <c r="S586" i="2" s="1"/>
  <c r="C587" i="2"/>
  <c r="D587" i="2"/>
  <c r="E587" i="2"/>
  <c r="H587" i="2"/>
  <c r="I587" i="2"/>
  <c r="J587" i="2"/>
  <c r="K587" i="2"/>
  <c r="L587" i="2"/>
  <c r="M587" i="2" s="1"/>
  <c r="N587" i="2"/>
  <c r="P587" i="2"/>
  <c r="Q587" i="2"/>
  <c r="R587" i="2"/>
  <c r="S587" i="2"/>
  <c r="C588" i="2"/>
  <c r="D588" i="2"/>
  <c r="E588" i="2"/>
  <c r="G588" i="2" s="1"/>
  <c r="H588" i="2"/>
  <c r="I588" i="2"/>
  <c r="J588" i="2"/>
  <c r="K588" i="2"/>
  <c r="L588" i="2"/>
  <c r="M588" i="2" s="1"/>
  <c r="N588" i="2"/>
  <c r="P588" i="2"/>
  <c r="Q588" i="2"/>
  <c r="R588" i="2"/>
  <c r="S588" i="2" s="1"/>
  <c r="C589" i="2"/>
  <c r="D589" i="2"/>
  <c r="E589" i="2"/>
  <c r="H589" i="2"/>
  <c r="I589" i="2"/>
  <c r="J589" i="2"/>
  <c r="K589" i="2"/>
  <c r="L589" i="2"/>
  <c r="M589" i="2" s="1"/>
  <c r="N589" i="2"/>
  <c r="P589" i="2"/>
  <c r="Q589" i="2"/>
  <c r="R589" i="2"/>
  <c r="S589" i="2" s="1"/>
  <c r="C590" i="2"/>
  <c r="D590" i="2"/>
  <c r="E590" i="2"/>
  <c r="F590" i="2" s="1"/>
  <c r="H590" i="2"/>
  <c r="I590" i="2"/>
  <c r="J590" i="2"/>
  <c r="K590" i="2"/>
  <c r="L590" i="2"/>
  <c r="M590" i="2" s="1"/>
  <c r="N590" i="2"/>
  <c r="P590" i="2"/>
  <c r="Q590" i="2"/>
  <c r="R590" i="2"/>
  <c r="S590" i="2" s="1"/>
  <c r="C591" i="2"/>
  <c r="D591" i="2"/>
  <c r="E591" i="2"/>
  <c r="H591" i="2"/>
  <c r="I591" i="2"/>
  <c r="J591" i="2"/>
  <c r="K591" i="2"/>
  <c r="L591" i="2"/>
  <c r="M591" i="2" s="1"/>
  <c r="N591" i="2"/>
  <c r="P591" i="2"/>
  <c r="Q591" i="2"/>
  <c r="R591" i="2"/>
  <c r="S591" i="2" s="1"/>
  <c r="C592" i="2"/>
  <c r="D592" i="2"/>
  <c r="E592" i="2"/>
  <c r="H592" i="2"/>
  <c r="I592" i="2"/>
  <c r="J592" i="2"/>
  <c r="K592" i="2"/>
  <c r="L592" i="2"/>
  <c r="M592" i="2" s="1"/>
  <c r="N592" i="2"/>
  <c r="P592" i="2"/>
  <c r="Q592" i="2"/>
  <c r="R592" i="2"/>
  <c r="S592" i="2" s="1"/>
  <c r="C593" i="2"/>
  <c r="D593" i="2"/>
  <c r="E593" i="2"/>
  <c r="H593" i="2"/>
  <c r="I593" i="2"/>
  <c r="J593" i="2"/>
  <c r="K593" i="2"/>
  <c r="L593" i="2"/>
  <c r="M593" i="2" s="1"/>
  <c r="N593" i="2"/>
  <c r="P593" i="2"/>
  <c r="Q593" i="2"/>
  <c r="R593" i="2"/>
  <c r="S593" i="2" s="1"/>
  <c r="C594" i="2"/>
  <c r="D594" i="2"/>
  <c r="E594" i="2"/>
  <c r="F594" i="2" s="1"/>
  <c r="H594" i="2"/>
  <c r="I594" i="2"/>
  <c r="J594" i="2"/>
  <c r="K594" i="2"/>
  <c r="L594" i="2"/>
  <c r="M594" i="2" s="1"/>
  <c r="N594" i="2"/>
  <c r="P594" i="2"/>
  <c r="Q594" i="2"/>
  <c r="R594" i="2"/>
  <c r="S594" i="2" s="1"/>
  <c r="C595" i="2"/>
  <c r="D595" i="2"/>
  <c r="E595" i="2"/>
  <c r="F595" i="2" s="1"/>
  <c r="G595" i="2"/>
  <c r="O595" i="2" s="1"/>
  <c r="H595" i="2"/>
  <c r="I595" i="2"/>
  <c r="J595" i="2"/>
  <c r="K595" i="2"/>
  <c r="L595" i="2"/>
  <c r="M595" i="2" s="1"/>
  <c r="N595" i="2"/>
  <c r="P595" i="2"/>
  <c r="Q595" i="2"/>
  <c r="R595" i="2"/>
  <c r="S595" i="2" s="1"/>
  <c r="C596" i="2"/>
  <c r="D596" i="2"/>
  <c r="E596" i="2"/>
  <c r="H596" i="2"/>
  <c r="I596" i="2"/>
  <c r="J596" i="2"/>
  <c r="K596" i="2"/>
  <c r="L596" i="2"/>
  <c r="M596" i="2"/>
  <c r="N596" i="2"/>
  <c r="P596" i="2"/>
  <c r="Q596" i="2"/>
  <c r="R596" i="2"/>
  <c r="S596" i="2" s="1"/>
  <c r="C597" i="2"/>
  <c r="D597" i="2"/>
  <c r="E597" i="2"/>
  <c r="H597" i="2"/>
  <c r="I597" i="2"/>
  <c r="J597" i="2"/>
  <c r="K597" i="2"/>
  <c r="L597" i="2"/>
  <c r="M597" i="2" s="1"/>
  <c r="N597" i="2"/>
  <c r="P597" i="2"/>
  <c r="Q597" i="2"/>
  <c r="R597" i="2"/>
  <c r="S597" i="2" s="1"/>
  <c r="C598" i="2"/>
  <c r="D598" i="2"/>
  <c r="E598" i="2"/>
  <c r="F598" i="2" s="1"/>
  <c r="G598" i="2"/>
  <c r="H598" i="2"/>
  <c r="I598" i="2"/>
  <c r="J598" i="2"/>
  <c r="K598" i="2"/>
  <c r="L598" i="2"/>
  <c r="M598" i="2" s="1"/>
  <c r="N598" i="2"/>
  <c r="P598" i="2"/>
  <c r="Q598" i="2"/>
  <c r="R598" i="2"/>
  <c r="S598" i="2" s="1"/>
  <c r="C599" i="2"/>
  <c r="D599" i="2"/>
  <c r="E599" i="2"/>
  <c r="F599" i="2" s="1"/>
  <c r="H599" i="2"/>
  <c r="I599" i="2"/>
  <c r="J599" i="2"/>
  <c r="K599" i="2"/>
  <c r="L599" i="2"/>
  <c r="M599" i="2" s="1"/>
  <c r="N599" i="2"/>
  <c r="P599" i="2"/>
  <c r="Q599" i="2"/>
  <c r="R599" i="2"/>
  <c r="S599" i="2" s="1"/>
  <c r="C600" i="2"/>
  <c r="D600" i="2"/>
  <c r="E600" i="2"/>
  <c r="G600" i="2" s="1"/>
  <c r="H600" i="2"/>
  <c r="I600" i="2"/>
  <c r="J600" i="2"/>
  <c r="K600" i="2"/>
  <c r="L600" i="2"/>
  <c r="M600" i="2" s="1"/>
  <c r="N600" i="2"/>
  <c r="P600" i="2"/>
  <c r="Q600" i="2"/>
  <c r="R600" i="2"/>
  <c r="S600" i="2" s="1"/>
  <c r="C601" i="2"/>
  <c r="D601" i="2"/>
  <c r="E601" i="2"/>
  <c r="H601" i="2"/>
  <c r="I601" i="2"/>
  <c r="J601" i="2"/>
  <c r="K601" i="2"/>
  <c r="L601" i="2"/>
  <c r="M601" i="2" s="1"/>
  <c r="N601" i="2"/>
  <c r="P601" i="2"/>
  <c r="Q601" i="2"/>
  <c r="R601" i="2"/>
  <c r="S601" i="2" s="1"/>
  <c r="C602" i="2"/>
  <c r="D602" i="2"/>
  <c r="E602" i="2"/>
  <c r="H602" i="2"/>
  <c r="I602" i="2"/>
  <c r="J602" i="2"/>
  <c r="K602" i="2"/>
  <c r="L602" i="2"/>
  <c r="M602" i="2" s="1"/>
  <c r="N602" i="2"/>
  <c r="P602" i="2"/>
  <c r="Q602" i="2"/>
  <c r="R602" i="2"/>
  <c r="S602" i="2" s="1"/>
  <c r="C603" i="2"/>
  <c r="D603" i="2"/>
  <c r="E603" i="2"/>
  <c r="F603" i="2" s="1"/>
  <c r="G603" i="2"/>
  <c r="H603" i="2"/>
  <c r="I603" i="2"/>
  <c r="J603" i="2"/>
  <c r="K603" i="2"/>
  <c r="L603" i="2"/>
  <c r="M603" i="2" s="1"/>
  <c r="N603" i="2"/>
  <c r="P603" i="2"/>
  <c r="Q603" i="2"/>
  <c r="R603" i="2"/>
  <c r="S603" i="2" s="1"/>
  <c r="C604" i="2"/>
  <c r="D604" i="2"/>
  <c r="E604" i="2"/>
  <c r="G604" i="2" s="1"/>
  <c r="H604" i="2"/>
  <c r="I604" i="2"/>
  <c r="J604" i="2"/>
  <c r="K604" i="2"/>
  <c r="L604" i="2"/>
  <c r="M604" i="2" s="1"/>
  <c r="N604" i="2"/>
  <c r="P604" i="2"/>
  <c r="Q604" i="2"/>
  <c r="R604" i="2"/>
  <c r="S604" i="2" s="1"/>
  <c r="C605" i="2"/>
  <c r="D605" i="2"/>
  <c r="E605" i="2"/>
  <c r="H605" i="2"/>
  <c r="I605" i="2"/>
  <c r="J605" i="2"/>
  <c r="K605" i="2"/>
  <c r="L605" i="2"/>
  <c r="M605" i="2" s="1"/>
  <c r="N605" i="2"/>
  <c r="P605" i="2"/>
  <c r="Q605" i="2"/>
  <c r="R605" i="2"/>
  <c r="S605" i="2" s="1"/>
  <c r="C606" i="2"/>
  <c r="D606" i="2"/>
  <c r="E606" i="2"/>
  <c r="F606" i="2" s="1"/>
  <c r="H606" i="2"/>
  <c r="I606" i="2"/>
  <c r="J606" i="2"/>
  <c r="K606" i="2"/>
  <c r="L606" i="2"/>
  <c r="M606" i="2" s="1"/>
  <c r="N606" i="2"/>
  <c r="P606" i="2"/>
  <c r="Q606" i="2"/>
  <c r="R606" i="2"/>
  <c r="S606" i="2" s="1"/>
  <c r="C607" i="2"/>
  <c r="D607" i="2"/>
  <c r="E607" i="2"/>
  <c r="G607" i="2" s="1"/>
  <c r="F607" i="2"/>
  <c r="H607" i="2"/>
  <c r="I607" i="2"/>
  <c r="J607" i="2"/>
  <c r="K607" i="2"/>
  <c r="L607" i="2"/>
  <c r="M607" i="2" s="1"/>
  <c r="N607" i="2"/>
  <c r="P607" i="2"/>
  <c r="Q607" i="2"/>
  <c r="R607" i="2"/>
  <c r="S607" i="2"/>
  <c r="C608" i="2"/>
  <c r="D608" i="2"/>
  <c r="E608" i="2"/>
  <c r="G608" i="2" s="1"/>
  <c r="F608" i="2"/>
  <c r="H608" i="2"/>
  <c r="I608" i="2"/>
  <c r="J608" i="2"/>
  <c r="K608" i="2"/>
  <c r="L608" i="2"/>
  <c r="M608" i="2" s="1"/>
  <c r="N608" i="2"/>
  <c r="P608" i="2"/>
  <c r="Q608" i="2"/>
  <c r="R608" i="2"/>
  <c r="S608" i="2" s="1"/>
  <c r="C609" i="2"/>
  <c r="D609" i="2"/>
  <c r="E609" i="2"/>
  <c r="H609" i="2"/>
  <c r="I609" i="2"/>
  <c r="J609" i="2"/>
  <c r="K609" i="2"/>
  <c r="L609" i="2"/>
  <c r="M609" i="2" s="1"/>
  <c r="N609" i="2"/>
  <c r="P609" i="2"/>
  <c r="Q609" i="2"/>
  <c r="R609" i="2"/>
  <c r="S609" i="2" s="1"/>
  <c r="C610" i="2"/>
  <c r="D610" i="2"/>
  <c r="E610" i="2"/>
  <c r="F610" i="2" s="1"/>
  <c r="H610" i="2"/>
  <c r="I610" i="2"/>
  <c r="J610" i="2"/>
  <c r="K610" i="2"/>
  <c r="L610" i="2"/>
  <c r="M610" i="2" s="1"/>
  <c r="N610" i="2"/>
  <c r="P610" i="2"/>
  <c r="Q610" i="2"/>
  <c r="R610" i="2"/>
  <c r="S610" i="2" s="1"/>
  <c r="C611" i="2"/>
  <c r="D611" i="2"/>
  <c r="E611" i="2"/>
  <c r="H611" i="2"/>
  <c r="I611" i="2"/>
  <c r="J611" i="2"/>
  <c r="K611" i="2"/>
  <c r="L611" i="2"/>
  <c r="M611" i="2" s="1"/>
  <c r="N611" i="2"/>
  <c r="P611" i="2"/>
  <c r="Q611" i="2"/>
  <c r="R611" i="2"/>
  <c r="S611" i="2" s="1"/>
  <c r="C612" i="2"/>
  <c r="D612" i="2"/>
  <c r="E612" i="2"/>
  <c r="G612" i="2" s="1"/>
  <c r="F612" i="2"/>
  <c r="H612" i="2"/>
  <c r="I612" i="2"/>
  <c r="J612" i="2"/>
  <c r="K612" i="2"/>
  <c r="L612" i="2"/>
  <c r="M612" i="2" s="1"/>
  <c r="N612" i="2"/>
  <c r="P612" i="2"/>
  <c r="Q612" i="2"/>
  <c r="R612" i="2"/>
  <c r="S612" i="2" s="1"/>
  <c r="C613" i="2"/>
  <c r="D613" i="2"/>
  <c r="E613" i="2"/>
  <c r="H613" i="2"/>
  <c r="I613" i="2"/>
  <c r="J613" i="2"/>
  <c r="K613" i="2"/>
  <c r="L613" i="2"/>
  <c r="M613" i="2" s="1"/>
  <c r="N613" i="2"/>
  <c r="P613" i="2"/>
  <c r="Q613" i="2"/>
  <c r="R613" i="2"/>
  <c r="S613" i="2" s="1"/>
  <c r="C614" i="2"/>
  <c r="D614" i="2"/>
  <c r="E614" i="2"/>
  <c r="H614" i="2"/>
  <c r="I614" i="2"/>
  <c r="J614" i="2"/>
  <c r="K614" i="2"/>
  <c r="L614" i="2"/>
  <c r="M614" i="2" s="1"/>
  <c r="N614" i="2"/>
  <c r="P614" i="2"/>
  <c r="Q614" i="2"/>
  <c r="R614" i="2"/>
  <c r="S614" i="2" s="1"/>
  <c r="C615" i="2"/>
  <c r="D615" i="2"/>
  <c r="E615" i="2"/>
  <c r="G615" i="2" s="1"/>
  <c r="H615" i="2"/>
  <c r="I615" i="2"/>
  <c r="J615" i="2"/>
  <c r="K615" i="2"/>
  <c r="L615" i="2"/>
  <c r="M615" i="2" s="1"/>
  <c r="N615" i="2"/>
  <c r="P615" i="2"/>
  <c r="Q615" i="2"/>
  <c r="R615" i="2"/>
  <c r="S615" i="2" s="1"/>
  <c r="C616" i="2"/>
  <c r="D616" i="2"/>
  <c r="E616" i="2"/>
  <c r="H616" i="2"/>
  <c r="I616" i="2"/>
  <c r="J616" i="2"/>
  <c r="K616" i="2"/>
  <c r="L616" i="2"/>
  <c r="M616" i="2" s="1"/>
  <c r="N616" i="2"/>
  <c r="P616" i="2"/>
  <c r="Q616" i="2"/>
  <c r="R616" i="2"/>
  <c r="S616" i="2" s="1"/>
  <c r="C617" i="2"/>
  <c r="D617" i="2"/>
  <c r="E617" i="2"/>
  <c r="H617" i="2"/>
  <c r="I617" i="2"/>
  <c r="J617" i="2"/>
  <c r="K617" i="2"/>
  <c r="L617" i="2"/>
  <c r="M617" i="2" s="1"/>
  <c r="N617" i="2"/>
  <c r="P617" i="2"/>
  <c r="Q617" i="2"/>
  <c r="R617" i="2"/>
  <c r="S617" i="2" s="1"/>
  <c r="C618" i="2"/>
  <c r="D618" i="2"/>
  <c r="E618" i="2"/>
  <c r="H618" i="2"/>
  <c r="I618" i="2"/>
  <c r="J618" i="2"/>
  <c r="K618" i="2"/>
  <c r="L618" i="2"/>
  <c r="M618" i="2" s="1"/>
  <c r="N618" i="2"/>
  <c r="P618" i="2"/>
  <c r="Q618" i="2"/>
  <c r="R618" i="2"/>
  <c r="S618" i="2" s="1"/>
  <c r="C619" i="2"/>
  <c r="D619" i="2"/>
  <c r="E619" i="2"/>
  <c r="H619" i="2"/>
  <c r="I619" i="2"/>
  <c r="J619" i="2"/>
  <c r="K619" i="2"/>
  <c r="L619" i="2"/>
  <c r="M619" i="2" s="1"/>
  <c r="N619" i="2"/>
  <c r="P619" i="2"/>
  <c r="Q619" i="2"/>
  <c r="R619" i="2"/>
  <c r="S619" i="2" s="1"/>
  <c r="C620" i="2"/>
  <c r="D620" i="2"/>
  <c r="E620" i="2"/>
  <c r="H620" i="2"/>
  <c r="I620" i="2"/>
  <c r="J620" i="2"/>
  <c r="K620" i="2"/>
  <c r="L620" i="2"/>
  <c r="M620" i="2" s="1"/>
  <c r="N620" i="2"/>
  <c r="P620" i="2"/>
  <c r="Q620" i="2"/>
  <c r="R620" i="2"/>
  <c r="S620" i="2" s="1"/>
  <c r="C621" i="2"/>
  <c r="D621" i="2"/>
  <c r="E621" i="2"/>
  <c r="H621" i="2"/>
  <c r="I621" i="2"/>
  <c r="J621" i="2"/>
  <c r="K621" i="2"/>
  <c r="L621" i="2"/>
  <c r="M621" i="2" s="1"/>
  <c r="N621" i="2"/>
  <c r="P621" i="2"/>
  <c r="Q621" i="2"/>
  <c r="R621" i="2"/>
  <c r="S621" i="2" s="1"/>
  <c r="C622" i="2"/>
  <c r="D622" i="2"/>
  <c r="E622" i="2"/>
  <c r="F622" i="2" s="1"/>
  <c r="H622" i="2"/>
  <c r="I622" i="2"/>
  <c r="J622" i="2"/>
  <c r="K622" i="2"/>
  <c r="L622" i="2"/>
  <c r="M622" i="2" s="1"/>
  <c r="N622" i="2"/>
  <c r="P622" i="2"/>
  <c r="Q622" i="2"/>
  <c r="R622" i="2"/>
  <c r="S622" i="2" s="1"/>
  <c r="C623" i="2"/>
  <c r="D623" i="2"/>
  <c r="E623" i="2"/>
  <c r="H623" i="2"/>
  <c r="I623" i="2"/>
  <c r="J623" i="2"/>
  <c r="K623" i="2"/>
  <c r="L623" i="2"/>
  <c r="M623" i="2" s="1"/>
  <c r="N623" i="2"/>
  <c r="P623" i="2"/>
  <c r="Q623" i="2"/>
  <c r="R623" i="2"/>
  <c r="S623" i="2" s="1"/>
  <c r="C624" i="2"/>
  <c r="D624" i="2"/>
  <c r="E624" i="2"/>
  <c r="H624" i="2"/>
  <c r="I624" i="2"/>
  <c r="J624" i="2"/>
  <c r="K624" i="2"/>
  <c r="L624" i="2"/>
  <c r="M624" i="2" s="1"/>
  <c r="N624" i="2"/>
  <c r="P624" i="2"/>
  <c r="Q624" i="2"/>
  <c r="R624" i="2"/>
  <c r="S624" i="2" s="1"/>
  <c r="C625" i="2"/>
  <c r="D625" i="2"/>
  <c r="E625" i="2"/>
  <c r="H625" i="2"/>
  <c r="I625" i="2"/>
  <c r="J625" i="2"/>
  <c r="K625" i="2"/>
  <c r="L625" i="2"/>
  <c r="M625" i="2" s="1"/>
  <c r="N625" i="2"/>
  <c r="P625" i="2"/>
  <c r="Q625" i="2"/>
  <c r="R625" i="2"/>
  <c r="S625" i="2" s="1"/>
  <c r="C626" i="2"/>
  <c r="D626" i="2"/>
  <c r="E626" i="2"/>
  <c r="F626" i="2" s="1"/>
  <c r="G626" i="2"/>
  <c r="O626" i="2" s="1"/>
  <c r="H626" i="2"/>
  <c r="I626" i="2"/>
  <c r="J626" i="2"/>
  <c r="K626" i="2"/>
  <c r="L626" i="2"/>
  <c r="M626" i="2" s="1"/>
  <c r="N626" i="2"/>
  <c r="P626" i="2"/>
  <c r="Q626" i="2"/>
  <c r="R626" i="2"/>
  <c r="S626" i="2" s="1"/>
  <c r="C627" i="2"/>
  <c r="D627" i="2"/>
  <c r="E627" i="2"/>
  <c r="F627" i="2" s="1"/>
  <c r="G627" i="2"/>
  <c r="O627" i="2" s="1"/>
  <c r="H627" i="2"/>
  <c r="I627" i="2"/>
  <c r="J627" i="2"/>
  <c r="K627" i="2"/>
  <c r="L627" i="2"/>
  <c r="M627" i="2" s="1"/>
  <c r="N627" i="2"/>
  <c r="P627" i="2"/>
  <c r="Q627" i="2"/>
  <c r="R627" i="2"/>
  <c r="S627" i="2" s="1"/>
  <c r="C628" i="2"/>
  <c r="D628" i="2"/>
  <c r="E628" i="2"/>
  <c r="H628" i="2"/>
  <c r="I628" i="2"/>
  <c r="J628" i="2"/>
  <c r="K628" i="2"/>
  <c r="L628" i="2"/>
  <c r="M628" i="2"/>
  <c r="N628" i="2"/>
  <c r="P628" i="2"/>
  <c r="Q628" i="2"/>
  <c r="R628" i="2"/>
  <c r="S628" i="2" s="1"/>
  <c r="C629" i="2"/>
  <c r="D629" i="2"/>
  <c r="E629" i="2"/>
  <c r="H629" i="2"/>
  <c r="I629" i="2"/>
  <c r="J629" i="2"/>
  <c r="K629" i="2"/>
  <c r="L629" i="2"/>
  <c r="M629" i="2" s="1"/>
  <c r="N629" i="2"/>
  <c r="P629" i="2"/>
  <c r="Q629" i="2"/>
  <c r="R629" i="2"/>
  <c r="S629" i="2" s="1"/>
  <c r="C630" i="2"/>
  <c r="D630" i="2"/>
  <c r="E630" i="2"/>
  <c r="F630" i="2" s="1"/>
  <c r="H630" i="2"/>
  <c r="I630" i="2"/>
  <c r="J630" i="2"/>
  <c r="K630" i="2"/>
  <c r="L630" i="2"/>
  <c r="M630" i="2" s="1"/>
  <c r="N630" i="2"/>
  <c r="P630" i="2"/>
  <c r="Q630" i="2"/>
  <c r="R630" i="2"/>
  <c r="S630" i="2" s="1"/>
  <c r="C631" i="2"/>
  <c r="D631" i="2"/>
  <c r="E631" i="2"/>
  <c r="F631" i="2" s="1"/>
  <c r="H631" i="2"/>
  <c r="I631" i="2"/>
  <c r="J631" i="2"/>
  <c r="K631" i="2"/>
  <c r="L631" i="2"/>
  <c r="M631" i="2" s="1"/>
  <c r="N631" i="2"/>
  <c r="P631" i="2"/>
  <c r="Q631" i="2"/>
  <c r="R631" i="2"/>
  <c r="S631" i="2" s="1"/>
  <c r="C632" i="2"/>
  <c r="D632" i="2"/>
  <c r="E632" i="2"/>
  <c r="G632" i="2" s="1"/>
  <c r="H632" i="2"/>
  <c r="I632" i="2"/>
  <c r="J632" i="2"/>
  <c r="K632" i="2"/>
  <c r="L632" i="2"/>
  <c r="M632" i="2" s="1"/>
  <c r="N632" i="2"/>
  <c r="P632" i="2"/>
  <c r="Q632" i="2"/>
  <c r="R632" i="2"/>
  <c r="S632" i="2" s="1"/>
  <c r="C633" i="2"/>
  <c r="D633" i="2"/>
  <c r="E633" i="2"/>
  <c r="H633" i="2"/>
  <c r="I633" i="2"/>
  <c r="J633" i="2"/>
  <c r="K633" i="2"/>
  <c r="L633" i="2"/>
  <c r="M633" i="2" s="1"/>
  <c r="N633" i="2"/>
  <c r="P633" i="2"/>
  <c r="Q633" i="2"/>
  <c r="R633" i="2"/>
  <c r="S633" i="2" s="1"/>
  <c r="C634" i="2"/>
  <c r="D634" i="2"/>
  <c r="E634" i="2"/>
  <c r="H634" i="2"/>
  <c r="I634" i="2"/>
  <c r="J634" i="2"/>
  <c r="K634" i="2"/>
  <c r="L634" i="2"/>
  <c r="M634" i="2" s="1"/>
  <c r="N634" i="2"/>
  <c r="P634" i="2"/>
  <c r="Q634" i="2"/>
  <c r="R634" i="2"/>
  <c r="S634" i="2" s="1"/>
  <c r="C635" i="2"/>
  <c r="D635" i="2"/>
  <c r="E635" i="2"/>
  <c r="F635" i="2" s="1"/>
  <c r="G635" i="2"/>
  <c r="H635" i="2"/>
  <c r="I635" i="2"/>
  <c r="J635" i="2"/>
  <c r="K635" i="2"/>
  <c r="L635" i="2"/>
  <c r="M635" i="2" s="1"/>
  <c r="N635" i="2"/>
  <c r="P635" i="2"/>
  <c r="Q635" i="2"/>
  <c r="R635" i="2"/>
  <c r="S635" i="2" s="1"/>
  <c r="C636" i="2"/>
  <c r="D636" i="2"/>
  <c r="E636" i="2"/>
  <c r="G636" i="2" s="1"/>
  <c r="H636" i="2"/>
  <c r="I636" i="2"/>
  <c r="J636" i="2"/>
  <c r="K636" i="2"/>
  <c r="L636" i="2"/>
  <c r="M636" i="2" s="1"/>
  <c r="N636" i="2"/>
  <c r="P636" i="2"/>
  <c r="Q636" i="2"/>
  <c r="R636" i="2"/>
  <c r="S636" i="2" s="1"/>
  <c r="C637" i="2"/>
  <c r="D637" i="2"/>
  <c r="E637" i="2"/>
  <c r="H637" i="2"/>
  <c r="I637" i="2"/>
  <c r="J637" i="2"/>
  <c r="K637" i="2"/>
  <c r="L637" i="2"/>
  <c r="M637" i="2" s="1"/>
  <c r="N637" i="2"/>
  <c r="P637" i="2"/>
  <c r="Q637" i="2"/>
  <c r="R637" i="2"/>
  <c r="S637" i="2" s="1"/>
  <c r="C638" i="2"/>
  <c r="D638" i="2"/>
  <c r="E638" i="2"/>
  <c r="F638" i="2" s="1"/>
  <c r="H638" i="2"/>
  <c r="I638" i="2"/>
  <c r="J638" i="2"/>
  <c r="K638" i="2"/>
  <c r="L638" i="2"/>
  <c r="M638" i="2" s="1"/>
  <c r="N638" i="2"/>
  <c r="P638" i="2"/>
  <c r="Q638" i="2"/>
  <c r="R638" i="2"/>
  <c r="S638" i="2"/>
  <c r="C639" i="2"/>
  <c r="D639" i="2"/>
  <c r="E639" i="2"/>
  <c r="H639" i="2"/>
  <c r="I639" i="2"/>
  <c r="J639" i="2"/>
  <c r="K639" i="2"/>
  <c r="L639" i="2"/>
  <c r="M639" i="2" s="1"/>
  <c r="N639" i="2"/>
  <c r="P639" i="2"/>
  <c r="Q639" i="2"/>
  <c r="R639" i="2"/>
  <c r="S639" i="2" s="1"/>
  <c r="C640" i="2"/>
  <c r="D640" i="2"/>
  <c r="E640" i="2"/>
  <c r="G640" i="2" s="1"/>
  <c r="H640" i="2"/>
  <c r="I640" i="2"/>
  <c r="J640" i="2"/>
  <c r="K640" i="2"/>
  <c r="L640" i="2"/>
  <c r="M640" i="2" s="1"/>
  <c r="N640" i="2"/>
  <c r="P640" i="2"/>
  <c r="Q640" i="2"/>
  <c r="R640" i="2"/>
  <c r="S640" i="2" s="1"/>
  <c r="C641" i="2"/>
  <c r="D641" i="2"/>
  <c r="E641" i="2"/>
  <c r="H641" i="2"/>
  <c r="I641" i="2"/>
  <c r="J641" i="2"/>
  <c r="K641" i="2"/>
  <c r="L641" i="2"/>
  <c r="M641" i="2" s="1"/>
  <c r="N641" i="2"/>
  <c r="P641" i="2"/>
  <c r="Q641" i="2"/>
  <c r="R641" i="2"/>
  <c r="S641" i="2" s="1"/>
  <c r="C642" i="2"/>
  <c r="D642" i="2"/>
  <c r="E642" i="2"/>
  <c r="F642" i="2" s="1"/>
  <c r="H642" i="2"/>
  <c r="I642" i="2"/>
  <c r="J642" i="2"/>
  <c r="K642" i="2"/>
  <c r="L642" i="2"/>
  <c r="M642" i="2" s="1"/>
  <c r="N642" i="2"/>
  <c r="P642" i="2"/>
  <c r="Q642" i="2"/>
  <c r="R642" i="2"/>
  <c r="S642" i="2"/>
  <c r="C643" i="2"/>
  <c r="D643" i="2"/>
  <c r="E643" i="2"/>
  <c r="G643" i="2" s="1"/>
  <c r="H643" i="2"/>
  <c r="I643" i="2"/>
  <c r="J643" i="2"/>
  <c r="K643" i="2"/>
  <c r="L643" i="2"/>
  <c r="M643" i="2" s="1"/>
  <c r="N643" i="2"/>
  <c r="P643" i="2"/>
  <c r="Q643" i="2"/>
  <c r="R643" i="2"/>
  <c r="S643" i="2"/>
  <c r="C644" i="2"/>
  <c r="D644" i="2"/>
  <c r="E644" i="2"/>
  <c r="G644" i="2" s="1"/>
  <c r="F644" i="2"/>
  <c r="H644" i="2"/>
  <c r="I644" i="2"/>
  <c r="J644" i="2"/>
  <c r="K644" i="2"/>
  <c r="L644" i="2"/>
  <c r="M644" i="2" s="1"/>
  <c r="N644" i="2"/>
  <c r="P644" i="2"/>
  <c r="Q644" i="2"/>
  <c r="R644" i="2"/>
  <c r="S644" i="2" s="1"/>
  <c r="C645" i="2"/>
  <c r="D645" i="2"/>
  <c r="E645" i="2"/>
  <c r="H645" i="2"/>
  <c r="I645" i="2"/>
  <c r="J645" i="2"/>
  <c r="K645" i="2"/>
  <c r="L645" i="2"/>
  <c r="M645" i="2" s="1"/>
  <c r="N645" i="2"/>
  <c r="P645" i="2"/>
  <c r="Q645" i="2"/>
  <c r="R645" i="2"/>
  <c r="S645" i="2" s="1"/>
  <c r="C646" i="2"/>
  <c r="D646" i="2"/>
  <c r="E646" i="2"/>
  <c r="H646" i="2"/>
  <c r="I646" i="2"/>
  <c r="J646" i="2"/>
  <c r="K646" i="2"/>
  <c r="L646" i="2"/>
  <c r="M646" i="2" s="1"/>
  <c r="N646" i="2"/>
  <c r="P646" i="2"/>
  <c r="Q646" i="2"/>
  <c r="R646" i="2"/>
  <c r="S646" i="2" s="1"/>
  <c r="C647" i="2"/>
  <c r="D647" i="2"/>
  <c r="E647" i="2"/>
  <c r="G647" i="2" s="1"/>
  <c r="F647" i="2"/>
  <c r="H647" i="2"/>
  <c r="I647" i="2"/>
  <c r="J647" i="2"/>
  <c r="K647" i="2"/>
  <c r="L647" i="2"/>
  <c r="M647" i="2" s="1"/>
  <c r="N647" i="2"/>
  <c r="P647" i="2"/>
  <c r="Q647" i="2"/>
  <c r="R647" i="2"/>
  <c r="S647" i="2" s="1"/>
  <c r="C648" i="2"/>
  <c r="D648" i="2"/>
  <c r="E648" i="2"/>
  <c r="G648" i="2" s="1"/>
  <c r="F648" i="2"/>
  <c r="H648" i="2"/>
  <c r="I648" i="2"/>
  <c r="J648" i="2"/>
  <c r="K648" i="2"/>
  <c r="L648" i="2"/>
  <c r="M648" i="2" s="1"/>
  <c r="N648" i="2"/>
  <c r="P648" i="2"/>
  <c r="Q648" i="2"/>
  <c r="R648" i="2"/>
  <c r="S648" i="2" s="1"/>
  <c r="C649" i="2"/>
  <c r="D649" i="2"/>
  <c r="E649" i="2"/>
  <c r="H649" i="2"/>
  <c r="I649" i="2"/>
  <c r="J649" i="2"/>
  <c r="K649" i="2"/>
  <c r="L649" i="2"/>
  <c r="M649" i="2" s="1"/>
  <c r="N649" i="2"/>
  <c r="P649" i="2"/>
  <c r="Q649" i="2"/>
  <c r="R649" i="2"/>
  <c r="S649" i="2" s="1"/>
  <c r="C650" i="2"/>
  <c r="D650" i="2"/>
  <c r="E650" i="2"/>
  <c r="F650" i="2" s="1"/>
  <c r="G650" i="2"/>
  <c r="O650" i="2" s="1"/>
  <c r="H650" i="2"/>
  <c r="I650" i="2"/>
  <c r="J650" i="2"/>
  <c r="K650" i="2"/>
  <c r="L650" i="2"/>
  <c r="M650" i="2" s="1"/>
  <c r="N650" i="2"/>
  <c r="P650" i="2"/>
  <c r="Q650" i="2"/>
  <c r="R650" i="2"/>
  <c r="S650" i="2" s="1"/>
  <c r="C651" i="2"/>
  <c r="D651" i="2"/>
  <c r="E651" i="2"/>
  <c r="H651" i="2"/>
  <c r="I651" i="2"/>
  <c r="J651" i="2"/>
  <c r="K651" i="2"/>
  <c r="L651" i="2"/>
  <c r="M651" i="2" s="1"/>
  <c r="N651" i="2"/>
  <c r="P651" i="2"/>
  <c r="Q651" i="2"/>
  <c r="R651" i="2"/>
  <c r="S651" i="2"/>
  <c r="C652" i="2"/>
  <c r="D652" i="2"/>
  <c r="E652" i="2"/>
  <c r="H652" i="2"/>
  <c r="I652" i="2"/>
  <c r="J652" i="2"/>
  <c r="K652" i="2"/>
  <c r="L652" i="2"/>
  <c r="M652" i="2" s="1"/>
  <c r="N652" i="2"/>
  <c r="P652" i="2"/>
  <c r="Q652" i="2"/>
  <c r="R652" i="2"/>
  <c r="S652" i="2" s="1"/>
  <c r="C653" i="2"/>
  <c r="D653" i="2"/>
  <c r="E653" i="2"/>
  <c r="H653" i="2"/>
  <c r="I653" i="2"/>
  <c r="J653" i="2"/>
  <c r="K653" i="2"/>
  <c r="L653" i="2"/>
  <c r="M653" i="2" s="1"/>
  <c r="N653" i="2"/>
  <c r="P653" i="2"/>
  <c r="Q653" i="2"/>
  <c r="R653" i="2"/>
  <c r="S653" i="2" s="1"/>
  <c r="C654" i="2"/>
  <c r="D654" i="2"/>
  <c r="E654" i="2"/>
  <c r="F654" i="2" s="1"/>
  <c r="H654" i="2"/>
  <c r="I654" i="2"/>
  <c r="J654" i="2"/>
  <c r="K654" i="2"/>
  <c r="L654" i="2"/>
  <c r="M654" i="2" s="1"/>
  <c r="N654" i="2"/>
  <c r="P654" i="2"/>
  <c r="Q654" i="2"/>
  <c r="R654" i="2"/>
  <c r="S654" i="2" s="1"/>
  <c r="C655" i="2"/>
  <c r="D655" i="2"/>
  <c r="E655" i="2"/>
  <c r="H655" i="2"/>
  <c r="I655" i="2"/>
  <c r="J655" i="2"/>
  <c r="K655" i="2"/>
  <c r="L655" i="2"/>
  <c r="M655" i="2" s="1"/>
  <c r="N655" i="2"/>
  <c r="P655" i="2"/>
  <c r="Q655" i="2"/>
  <c r="R655" i="2"/>
  <c r="S655" i="2" s="1"/>
  <c r="C656" i="2"/>
  <c r="D656" i="2"/>
  <c r="E656" i="2"/>
  <c r="H656" i="2"/>
  <c r="I656" i="2"/>
  <c r="J656" i="2"/>
  <c r="K656" i="2"/>
  <c r="L656" i="2"/>
  <c r="M656" i="2"/>
  <c r="N656" i="2"/>
  <c r="P656" i="2"/>
  <c r="Q656" i="2"/>
  <c r="R656" i="2"/>
  <c r="S656" i="2" s="1"/>
  <c r="C657" i="2"/>
  <c r="D657" i="2"/>
  <c r="E657" i="2"/>
  <c r="H657" i="2"/>
  <c r="I657" i="2"/>
  <c r="J657" i="2"/>
  <c r="K657" i="2"/>
  <c r="L657" i="2"/>
  <c r="M657" i="2" s="1"/>
  <c r="N657" i="2"/>
  <c r="P657" i="2"/>
  <c r="Q657" i="2"/>
  <c r="R657" i="2"/>
  <c r="S657" i="2" s="1"/>
  <c r="C658" i="2"/>
  <c r="D658" i="2"/>
  <c r="E658" i="2"/>
  <c r="F658" i="2" s="1"/>
  <c r="H658" i="2"/>
  <c r="I658" i="2"/>
  <c r="J658" i="2"/>
  <c r="K658" i="2"/>
  <c r="L658" i="2"/>
  <c r="M658" i="2" s="1"/>
  <c r="N658" i="2"/>
  <c r="P658" i="2"/>
  <c r="Q658" i="2"/>
  <c r="R658" i="2"/>
  <c r="S658" i="2" s="1"/>
  <c r="C659" i="2"/>
  <c r="D659" i="2"/>
  <c r="E659" i="2"/>
  <c r="F659" i="2" s="1"/>
  <c r="H659" i="2"/>
  <c r="I659" i="2"/>
  <c r="J659" i="2"/>
  <c r="K659" i="2"/>
  <c r="L659" i="2"/>
  <c r="M659" i="2" s="1"/>
  <c r="N659" i="2"/>
  <c r="P659" i="2"/>
  <c r="Q659" i="2"/>
  <c r="R659" i="2"/>
  <c r="S659" i="2" s="1"/>
  <c r="C660" i="2"/>
  <c r="D660" i="2"/>
  <c r="E660" i="2"/>
  <c r="H660" i="2"/>
  <c r="I660" i="2"/>
  <c r="J660" i="2"/>
  <c r="K660" i="2"/>
  <c r="L660" i="2"/>
  <c r="M660" i="2" s="1"/>
  <c r="N660" i="2"/>
  <c r="P660" i="2"/>
  <c r="Q660" i="2"/>
  <c r="R660" i="2"/>
  <c r="S660" i="2" s="1"/>
  <c r="C661" i="2"/>
  <c r="D661" i="2"/>
  <c r="E661" i="2"/>
  <c r="H661" i="2"/>
  <c r="I661" i="2"/>
  <c r="J661" i="2"/>
  <c r="K661" i="2"/>
  <c r="L661" i="2"/>
  <c r="M661" i="2" s="1"/>
  <c r="N661" i="2"/>
  <c r="P661" i="2"/>
  <c r="Q661" i="2"/>
  <c r="R661" i="2"/>
  <c r="S661" i="2" s="1"/>
  <c r="C662" i="2"/>
  <c r="D662" i="2"/>
  <c r="E662" i="2"/>
  <c r="H662" i="2"/>
  <c r="I662" i="2"/>
  <c r="J662" i="2"/>
  <c r="K662" i="2"/>
  <c r="L662" i="2"/>
  <c r="M662" i="2" s="1"/>
  <c r="N662" i="2"/>
  <c r="P662" i="2"/>
  <c r="Q662" i="2"/>
  <c r="R662" i="2"/>
  <c r="S662" i="2" s="1"/>
  <c r="C663" i="2"/>
  <c r="D663" i="2"/>
  <c r="E663" i="2"/>
  <c r="F663" i="2" s="1"/>
  <c r="G663" i="2"/>
  <c r="H663" i="2"/>
  <c r="I663" i="2"/>
  <c r="J663" i="2"/>
  <c r="K663" i="2"/>
  <c r="L663" i="2"/>
  <c r="M663" i="2" s="1"/>
  <c r="N663" i="2"/>
  <c r="P663" i="2"/>
  <c r="Q663" i="2"/>
  <c r="R663" i="2"/>
  <c r="S663" i="2" s="1"/>
  <c r="C664" i="2"/>
  <c r="D664" i="2"/>
  <c r="E664" i="2"/>
  <c r="G664" i="2" s="1"/>
  <c r="H664" i="2"/>
  <c r="I664" i="2"/>
  <c r="J664" i="2"/>
  <c r="K664" i="2"/>
  <c r="L664" i="2"/>
  <c r="M664" i="2" s="1"/>
  <c r="N664" i="2"/>
  <c r="P664" i="2"/>
  <c r="Q664" i="2"/>
  <c r="R664" i="2"/>
  <c r="S664" i="2" s="1"/>
  <c r="C665" i="2"/>
  <c r="D665" i="2"/>
  <c r="E665" i="2"/>
  <c r="H665" i="2"/>
  <c r="I665" i="2"/>
  <c r="J665" i="2"/>
  <c r="K665" i="2"/>
  <c r="L665" i="2"/>
  <c r="M665" i="2" s="1"/>
  <c r="N665" i="2"/>
  <c r="P665" i="2"/>
  <c r="Q665" i="2"/>
  <c r="R665" i="2"/>
  <c r="S665" i="2" s="1"/>
  <c r="C666" i="2"/>
  <c r="D666" i="2"/>
  <c r="E666" i="2"/>
  <c r="H666" i="2"/>
  <c r="I666" i="2"/>
  <c r="J666" i="2"/>
  <c r="K666" i="2"/>
  <c r="L666" i="2"/>
  <c r="M666" i="2" s="1"/>
  <c r="N666" i="2"/>
  <c r="P666" i="2"/>
  <c r="Q666" i="2"/>
  <c r="R666" i="2"/>
  <c r="S666" i="2"/>
  <c r="C667" i="2"/>
  <c r="D667" i="2"/>
  <c r="E667" i="2"/>
  <c r="H667" i="2"/>
  <c r="I667" i="2"/>
  <c r="J667" i="2"/>
  <c r="K667" i="2"/>
  <c r="L667" i="2"/>
  <c r="M667" i="2" s="1"/>
  <c r="N667" i="2"/>
  <c r="P667" i="2"/>
  <c r="Q667" i="2"/>
  <c r="R667" i="2"/>
  <c r="S667" i="2" s="1"/>
  <c r="C668" i="2"/>
  <c r="D668" i="2"/>
  <c r="E668" i="2"/>
  <c r="G668" i="2" s="1"/>
  <c r="H668" i="2"/>
  <c r="I668" i="2"/>
  <c r="J668" i="2"/>
  <c r="K668" i="2"/>
  <c r="L668" i="2"/>
  <c r="M668" i="2" s="1"/>
  <c r="N668" i="2"/>
  <c r="P668" i="2"/>
  <c r="Q668" i="2"/>
  <c r="R668" i="2"/>
  <c r="S668" i="2" s="1"/>
  <c r="C669" i="2"/>
  <c r="D669" i="2"/>
  <c r="E669" i="2"/>
  <c r="H669" i="2"/>
  <c r="I669" i="2"/>
  <c r="J669" i="2"/>
  <c r="K669" i="2"/>
  <c r="L669" i="2"/>
  <c r="M669" i="2" s="1"/>
  <c r="N669" i="2"/>
  <c r="P669" i="2"/>
  <c r="Q669" i="2"/>
  <c r="R669" i="2"/>
  <c r="S669" i="2" s="1"/>
  <c r="C670" i="2"/>
  <c r="D670" i="2"/>
  <c r="E670" i="2"/>
  <c r="F670" i="2" s="1"/>
  <c r="H670" i="2"/>
  <c r="I670" i="2"/>
  <c r="J670" i="2"/>
  <c r="K670" i="2"/>
  <c r="L670" i="2"/>
  <c r="M670" i="2" s="1"/>
  <c r="N670" i="2"/>
  <c r="P670" i="2"/>
  <c r="Q670" i="2"/>
  <c r="R670" i="2"/>
  <c r="S670" i="2" s="1"/>
  <c r="C671" i="2"/>
  <c r="D671" i="2"/>
  <c r="E671" i="2"/>
  <c r="F671" i="2"/>
  <c r="G671" i="2"/>
  <c r="O671" i="2" s="1"/>
  <c r="H671" i="2"/>
  <c r="I671" i="2"/>
  <c r="J671" i="2"/>
  <c r="K671" i="2"/>
  <c r="L671" i="2"/>
  <c r="M671" i="2" s="1"/>
  <c r="N671" i="2"/>
  <c r="P671" i="2"/>
  <c r="Q671" i="2"/>
  <c r="R671" i="2"/>
  <c r="S671" i="2"/>
  <c r="C672" i="2"/>
  <c r="D672" i="2"/>
  <c r="E672" i="2"/>
  <c r="G672" i="2" s="1"/>
  <c r="H672" i="2"/>
  <c r="I672" i="2"/>
  <c r="J672" i="2"/>
  <c r="K672" i="2"/>
  <c r="L672" i="2"/>
  <c r="M672" i="2" s="1"/>
  <c r="N672" i="2"/>
  <c r="P672" i="2"/>
  <c r="Q672" i="2"/>
  <c r="R672" i="2"/>
  <c r="S672" i="2" s="1"/>
  <c r="C673" i="2"/>
  <c r="D673" i="2"/>
  <c r="E673" i="2"/>
  <c r="H673" i="2"/>
  <c r="I673" i="2"/>
  <c r="J673" i="2"/>
  <c r="K673" i="2"/>
  <c r="L673" i="2"/>
  <c r="M673" i="2" s="1"/>
  <c r="N673" i="2"/>
  <c r="P673" i="2"/>
  <c r="Q673" i="2"/>
  <c r="R673" i="2"/>
  <c r="S673" i="2" s="1"/>
  <c r="C674" i="2"/>
  <c r="D674" i="2"/>
  <c r="E674" i="2"/>
  <c r="F674" i="2" s="1"/>
  <c r="H674" i="2"/>
  <c r="I674" i="2"/>
  <c r="J674" i="2"/>
  <c r="K674" i="2"/>
  <c r="L674" i="2"/>
  <c r="M674" i="2" s="1"/>
  <c r="N674" i="2"/>
  <c r="P674" i="2"/>
  <c r="Q674" i="2"/>
  <c r="R674" i="2"/>
  <c r="S674" i="2" s="1"/>
  <c r="C675" i="2"/>
  <c r="D675" i="2"/>
  <c r="E675" i="2"/>
  <c r="H675" i="2"/>
  <c r="I675" i="2"/>
  <c r="J675" i="2"/>
  <c r="K675" i="2"/>
  <c r="L675" i="2"/>
  <c r="M675" i="2" s="1"/>
  <c r="N675" i="2"/>
  <c r="P675" i="2"/>
  <c r="Q675" i="2"/>
  <c r="R675" i="2"/>
  <c r="S675" i="2" s="1"/>
  <c r="C676" i="2"/>
  <c r="D676" i="2"/>
  <c r="E676" i="2"/>
  <c r="H676" i="2"/>
  <c r="I676" i="2"/>
  <c r="J676" i="2"/>
  <c r="K676" i="2"/>
  <c r="L676" i="2"/>
  <c r="M676" i="2" s="1"/>
  <c r="N676" i="2"/>
  <c r="P676" i="2"/>
  <c r="Q676" i="2"/>
  <c r="R676" i="2"/>
  <c r="S676" i="2" s="1"/>
  <c r="C677" i="2"/>
  <c r="D677" i="2"/>
  <c r="E677" i="2"/>
  <c r="H677" i="2"/>
  <c r="I677" i="2"/>
  <c r="J677" i="2"/>
  <c r="K677" i="2"/>
  <c r="L677" i="2"/>
  <c r="M677" i="2" s="1"/>
  <c r="N677" i="2"/>
  <c r="P677" i="2"/>
  <c r="Q677" i="2"/>
  <c r="R677" i="2"/>
  <c r="S677" i="2" s="1"/>
  <c r="C678" i="2"/>
  <c r="D678" i="2"/>
  <c r="E678" i="2"/>
  <c r="H678" i="2"/>
  <c r="I678" i="2"/>
  <c r="J678" i="2"/>
  <c r="K678" i="2"/>
  <c r="L678" i="2"/>
  <c r="M678" i="2" s="1"/>
  <c r="N678" i="2"/>
  <c r="P678" i="2"/>
  <c r="Q678" i="2"/>
  <c r="R678" i="2"/>
  <c r="S678" i="2" s="1"/>
  <c r="C679" i="2"/>
  <c r="D679" i="2"/>
  <c r="E679" i="2"/>
  <c r="G679" i="2" s="1"/>
  <c r="H679" i="2"/>
  <c r="I679" i="2"/>
  <c r="J679" i="2"/>
  <c r="K679" i="2"/>
  <c r="L679" i="2"/>
  <c r="M679" i="2" s="1"/>
  <c r="N679" i="2"/>
  <c r="P679" i="2"/>
  <c r="Q679" i="2"/>
  <c r="R679" i="2"/>
  <c r="S679" i="2" s="1"/>
  <c r="C680" i="2"/>
  <c r="D680" i="2"/>
  <c r="E680" i="2"/>
  <c r="H680" i="2"/>
  <c r="I680" i="2"/>
  <c r="J680" i="2"/>
  <c r="K680" i="2"/>
  <c r="L680" i="2"/>
  <c r="M680" i="2" s="1"/>
  <c r="N680" i="2"/>
  <c r="P680" i="2"/>
  <c r="Q680" i="2"/>
  <c r="R680" i="2"/>
  <c r="S680" i="2" s="1"/>
  <c r="C681" i="2"/>
  <c r="D681" i="2"/>
  <c r="E681" i="2"/>
  <c r="H681" i="2"/>
  <c r="I681" i="2"/>
  <c r="J681" i="2"/>
  <c r="K681" i="2"/>
  <c r="L681" i="2"/>
  <c r="M681" i="2"/>
  <c r="N681" i="2"/>
  <c r="P681" i="2"/>
  <c r="Q681" i="2"/>
  <c r="R681" i="2"/>
  <c r="S681" i="2" s="1"/>
  <c r="C682" i="2"/>
  <c r="D682" i="2"/>
  <c r="E682" i="2"/>
  <c r="F682" i="2" s="1"/>
  <c r="G682" i="2"/>
  <c r="O682" i="2" s="1"/>
  <c r="H682" i="2"/>
  <c r="I682" i="2"/>
  <c r="J682" i="2"/>
  <c r="K682" i="2"/>
  <c r="L682" i="2"/>
  <c r="M682" i="2" s="1"/>
  <c r="N682" i="2"/>
  <c r="P682" i="2"/>
  <c r="Q682" i="2"/>
  <c r="R682" i="2"/>
  <c r="S682" i="2" s="1"/>
  <c r="C683" i="2"/>
  <c r="D683" i="2"/>
  <c r="E683" i="2"/>
  <c r="H683" i="2"/>
  <c r="I683" i="2"/>
  <c r="J683" i="2"/>
  <c r="K683" i="2"/>
  <c r="L683" i="2"/>
  <c r="M683" i="2" s="1"/>
  <c r="N683" i="2"/>
  <c r="P683" i="2"/>
  <c r="Q683" i="2"/>
  <c r="R683" i="2"/>
  <c r="S683" i="2" s="1"/>
  <c r="C684" i="2"/>
  <c r="D684" i="2"/>
  <c r="E684" i="2"/>
  <c r="H684" i="2"/>
  <c r="I684" i="2"/>
  <c r="J684" i="2"/>
  <c r="K684" i="2"/>
  <c r="L684" i="2"/>
  <c r="M684" i="2" s="1"/>
  <c r="N684" i="2"/>
  <c r="P684" i="2"/>
  <c r="Q684" i="2"/>
  <c r="R684" i="2"/>
  <c r="S684" i="2" s="1"/>
  <c r="C685" i="2"/>
  <c r="D685" i="2"/>
  <c r="E685" i="2"/>
  <c r="H685" i="2"/>
  <c r="I685" i="2"/>
  <c r="J685" i="2"/>
  <c r="K685" i="2"/>
  <c r="L685" i="2"/>
  <c r="M685" i="2" s="1"/>
  <c r="N685" i="2"/>
  <c r="P685" i="2"/>
  <c r="Q685" i="2"/>
  <c r="R685" i="2"/>
  <c r="S685" i="2" s="1"/>
  <c r="C686" i="2"/>
  <c r="D686" i="2"/>
  <c r="E686" i="2"/>
  <c r="F686" i="2" s="1"/>
  <c r="H686" i="2"/>
  <c r="I686" i="2"/>
  <c r="J686" i="2"/>
  <c r="K686" i="2"/>
  <c r="L686" i="2"/>
  <c r="M686" i="2" s="1"/>
  <c r="N686" i="2"/>
  <c r="P686" i="2"/>
  <c r="Q686" i="2"/>
  <c r="R686" i="2"/>
  <c r="S686" i="2" s="1"/>
  <c r="C687" i="2"/>
  <c r="D687" i="2"/>
  <c r="E687" i="2"/>
  <c r="H687" i="2"/>
  <c r="I687" i="2"/>
  <c r="J687" i="2"/>
  <c r="K687" i="2"/>
  <c r="L687" i="2"/>
  <c r="M687" i="2" s="1"/>
  <c r="N687" i="2"/>
  <c r="P687" i="2"/>
  <c r="Q687" i="2"/>
  <c r="R687" i="2"/>
  <c r="S687" i="2" s="1"/>
  <c r="C688" i="2"/>
  <c r="D688" i="2"/>
  <c r="E688" i="2"/>
  <c r="H688" i="2"/>
  <c r="I688" i="2"/>
  <c r="J688" i="2"/>
  <c r="K688" i="2"/>
  <c r="L688" i="2"/>
  <c r="M688" i="2" s="1"/>
  <c r="N688" i="2"/>
  <c r="P688" i="2"/>
  <c r="Q688" i="2"/>
  <c r="R688" i="2"/>
  <c r="S688" i="2" s="1"/>
  <c r="C689" i="2"/>
  <c r="D689" i="2"/>
  <c r="E689" i="2"/>
  <c r="H689" i="2"/>
  <c r="I689" i="2"/>
  <c r="J689" i="2"/>
  <c r="K689" i="2"/>
  <c r="L689" i="2"/>
  <c r="M689" i="2" s="1"/>
  <c r="N689" i="2"/>
  <c r="P689" i="2"/>
  <c r="Q689" i="2"/>
  <c r="R689" i="2"/>
  <c r="S689" i="2" s="1"/>
  <c r="C690" i="2"/>
  <c r="D690" i="2"/>
  <c r="E690" i="2"/>
  <c r="F690" i="2" s="1"/>
  <c r="G690" i="2"/>
  <c r="H690" i="2"/>
  <c r="I690" i="2"/>
  <c r="J690" i="2"/>
  <c r="K690" i="2"/>
  <c r="L690" i="2"/>
  <c r="M690" i="2" s="1"/>
  <c r="N690" i="2"/>
  <c r="P690" i="2"/>
  <c r="Q690" i="2"/>
  <c r="R690" i="2"/>
  <c r="S690" i="2" s="1"/>
  <c r="C691" i="2"/>
  <c r="D691" i="2"/>
  <c r="E691" i="2"/>
  <c r="F691" i="2" s="1"/>
  <c r="G691" i="2"/>
  <c r="O691" i="2" s="1"/>
  <c r="H691" i="2"/>
  <c r="I691" i="2"/>
  <c r="J691" i="2"/>
  <c r="K691" i="2"/>
  <c r="L691" i="2"/>
  <c r="M691" i="2" s="1"/>
  <c r="N691" i="2"/>
  <c r="P691" i="2"/>
  <c r="Q691" i="2"/>
  <c r="R691" i="2"/>
  <c r="S691" i="2" s="1"/>
  <c r="C692" i="2"/>
  <c r="D692" i="2"/>
  <c r="E692" i="2"/>
  <c r="H692" i="2"/>
  <c r="I692" i="2"/>
  <c r="J692" i="2"/>
  <c r="K692" i="2"/>
  <c r="L692" i="2"/>
  <c r="M692" i="2" s="1"/>
  <c r="N692" i="2"/>
  <c r="P692" i="2"/>
  <c r="Q692" i="2"/>
  <c r="R692" i="2"/>
  <c r="S692" i="2" s="1"/>
  <c r="C693" i="2"/>
  <c r="D693" i="2"/>
  <c r="E693" i="2"/>
  <c r="H693" i="2"/>
  <c r="I693" i="2"/>
  <c r="J693" i="2"/>
  <c r="K693" i="2"/>
  <c r="L693" i="2"/>
  <c r="M693" i="2" s="1"/>
  <c r="N693" i="2"/>
  <c r="P693" i="2"/>
  <c r="Q693" i="2"/>
  <c r="R693" i="2"/>
  <c r="S693" i="2" s="1"/>
  <c r="C694" i="2"/>
  <c r="D694" i="2"/>
  <c r="E694" i="2"/>
  <c r="H694" i="2"/>
  <c r="I694" i="2"/>
  <c r="J694" i="2"/>
  <c r="K694" i="2"/>
  <c r="L694" i="2"/>
  <c r="M694" i="2" s="1"/>
  <c r="N694" i="2"/>
  <c r="P694" i="2"/>
  <c r="Q694" i="2"/>
  <c r="R694" i="2"/>
  <c r="S694" i="2" s="1"/>
  <c r="C695" i="2"/>
  <c r="D695" i="2"/>
  <c r="E695" i="2"/>
  <c r="F695" i="2" s="1"/>
  <c r="H695" i="2"/>
  <c r="I695" i="2"/>
  <c r="J695" i="2"/>
  <c r="K695" i="2"/>
  <c r="L695" i="2"/>
  <c r="M695" i="2" s="1"/>
  <c r="N695" i="2"/>
  <c r="P695" i="2"/>
  <c r="Q695" i="2"/>
  <c r="R695" i="2"/>
  <c r="S695" i="2" s="1"/>
  <c r="C696" i="2"/>
  <c r="D696" i="2"/>
  <c r="E696" i="2"/>
  <c r="G696" i="2" s="1"/>
  <c r="H696" i="2"/>
  <c r="I696" i="2"/>
  <c r="J696" i="2"/>
  <c r="K696" i="2"/>
  <c r="L696" i="2"/>
  <c r="M696" i="2" s="1"/>
  <c r="N696" i="2"/>
  <c r="P696" i="2"/>
  <c r="Q696" i="2"/>
  <c r="R696" i="2"/>
  <c r="S696" i="2" s="1"/>
  <c r="C697" i="2"/>
  <c r="D697" i="2"/>
  <c r="E697" i="2"/>
  <c r="H697" i="2"/>
  <c r="I697" i="2"/>
  <c r="J697" i="2"/>
  <c r="K697" i="2"/>
  <c r="L697" i="2"/>
  <c r="M697" i="2" s="1"/>
  <c r="N697" i="2"/>
  <c r="P697" i="2"/>
  <c r="Q697" i="2"/>
  <c r="R697" i="2"/>
  <c r="S697" i="2" s="1"/>
  <c r="C698" i="2"/>
  <c r="D698" i="2"/>
  <c r="E698" i="2"/>
  <c r="H698" i="2"/>
  <c r="I698" i="2"/>
  <c r="J698" i="2"/>
  <c r="K698" i="2"/>
  <c r="L698" i="2"/>
  <c r="M698" i="2" s="1"/>
  <c r="N698" i="2"/>
  <c r="P698" i="2"/>
  <c r="Q698" i="2"/>
  <c r="R698" i="2"/>
  <c r="S698" i="2"/>
  <c r="C699" i="2"/>
  <c r="D699" i="2"/>
  <c r="E699" i="2"/>
  <c r="G699" i="2" s="1"/>
  <c r="F699" i="2"/>
  <c r="H699" i="2"/>
  <c r="I699" i="2"/>
  <c r="J699" i="2"/>
  <c r="K699" i="2"/>
  <c r="L699" i="2"/>
  <c r="M699" i="2" s="1"/>
  <c r="N699" i="2"/>
  <c r="P699" i="2"/>
  <c r="Q699" i="2"/>
  <c r="R699" i="2"/>
  <c r="S699" i="2" s="1"/>
  <c r="C700" i="2"/>
  <c r="D700" i="2"/>
  <c r="E700" i="2"/>
  <c r="G700" i="2" s="1"/>
  <c r="H700" i="2"/>
  <c r="I700" i="2"/>
  <c r="J700" i="2"/>
  <c r="K700" i="2"/>
  <c r="L700" i="2"/>
  <c r="M700" i="2" s="1"/>
  <c r="N700" i="2"/>
  <c r="P700" i="2"/>
  <c r="Q700" i="2"/>
  <c r="R700" i="2"/>
  <c r="S700" i="2" s="1"/>
  <c r="C701" i="2"/>
  <c r="D701" i="2"/>
  <c r="E701" i="2"/>
  <c r="H701" i="2"/>
  <c r="I701" i="2"/>
  <c r="J701" i="2"/>
  <c r="K701" i="2"/>
  <c r="L701" i="2"/>
  <c r="M701" i="2" s="1"/>
  <c r="N701" i="2"/>
  <c r="P701" i="2"/>
  <c r="Q701" i="2"/>
  <c r="R701" i="2"/>
  <c r="S701" i="2" s="1"/>
  <c r="C702" i="2"/>
  <c r="D702" i="2"/>
  <c r="E702" i="2"/>
  <c r="F702" i="2" s="1"/>
  <c r="H702" i="2"/>
  <c r="I702" i="2"/>
  <c r="J702" i="2"/>
  <c r="K702" i="2"/>
  <c r="L702" i="2"/>
  <c r="M702" i="2" s="1"/>
  <c r="N702" i="2"/>
  <c r="P702" i="2"/>
  <c r="Q702" i="2"/>
  <c r="R702" i="2"/>
  <c r="S702" i="2" s="1"/>
  <c r="C703" i="2"/>
  <c r="D703" i="2"/>
  <c r="E703" i="2"/>
  <c r="G703" i="2" s="1"/>
  <c r="O703" i="2" s="1"/>
  <c r="F703" i="2"/>
  <c r="H703" i="2"/>
  <c r="I703" i="2"/>
  <c r="J703" i="2"/>
  <c r="K703" i="2"/>
  <c r="L703" i="2"/>
  <c r="M703" i="2" s="1"/>
  <c r="N703" i="2"/>
  <c r="P703" i="2"/>
  <c r="Q703" i="2"/>
  <c r="R703" i="2"/>
  <c r="S703" i="2" s="1"/>
  <c r="C704" i="2"/>
  <c r="D704" i="2"/>
  <c r="E704" i="2"/>
  <c r="G704" i="2" s="1"/>
  <c r="F704" i="2"/>
  <c r="H704" i="2"/>
  <c r="I704" i="2"/>
  <c r="J704" i="2"/>
  <c r="K704" i="2"/>
  <c r="L704" i="2"/>
  <c r="M704" i="2" s="1"/>
  <c r="N704" i="2"/>
  <c r="P704" i="2"/>
  <c r="Q704" i="2"/>
  <c r="R704" i="2"/>
  <c r="S704" i="2" s="1"/>
  <c r="C705" i="2"/>
  <c r="D705" i="2"/>
  <c r="E705" i="2"/>
  <c r="H705" i="2"/>
  <c r="I705" i="2"/>
  <c r="J705" i="2"/>
  <c r="K705" i="2"/>
  <c r="L705" i="2"/>
  <c r="M705" i="2" s="1"/>
  <c r="N705" i="2"/>
  <c r="P705" i="2"/>
  <c r="Q705" i="2"/>
  <c r="R705" i="2"/>
  <c r="S705" i="2" s="1"/>
  <c r="C706" i="2"/>
  <c r="D706" i="2"/>
  <c r="E706" i="2"/>
  <c r="F706" i="2" s="1"/>
  <c r="H706" i="2"/>
  <c r="I706" i="2"/>
  <c r="J706" i="2"/>
  <c r="K706" i="2"/>
  <c r="L706" i="2"/>
  <c r="M706" i="2" s="1"/>
  <c r="N706" i="2"/>
  <c r="P706" i="2"/>
  <c r="Q706" i="2"/>
  <c r="R706" i="2"/>
  <c r="S706" i="2" s="1"/>
  <c r="C707" i="2"/>
  <c r="D707" i="2"/>
  <c r="E707" i="2"/>
  <c r="H707" i="2"/>
  <c r="I707" i="2"/>
  <c r="J707" i="2"/>
  <c r="K707" i="2"/>
  <c r="L707" i="2"/>
  <c r="M707" i="2" s="1"/>
  <c r="N707" i="2"/>
  <c r="P707" i="2"/>
  <c r="Q707" i="2"/>
  <c r="R707" i="2"/>
  <c r="S707" i="2"/>
  <c r="C708" i="2"/>
  <c r="D708" i="2"/>
  <c r="E708" i="2"/>
  <c r="G708" i="2" s="1"/>
  <c r="H708" i="2"/>
  <c r="I708" i="2"/>
  <c r="J708" i="2"/>
  <c r="K708" i="2"/>
  <c r="L708" i="2"/>
  <c r="M708" i="2" s="1"/>
  <c r="N708" i="2"/>
  <c r="P708" i="2"/>
  <c r="Q708" i="2"/>
  <c r="R708" i="2"/>
  <c r="S708" i="2" s="1"/>
  <c r="C709" i="2"/>
  <c r="D709" i="2"/>
  <c r="E709" i="2"/>
  <c r="H709" i="2"/>
  <c r="I709" i="2"/>
  <c r="J709" i="2"/>
  <c r="K709" i="2"/>
  <c r="L709" i="2"/>
  <c r="M709" i="2" s="1"/>
  <c r="N709" i="2"/>
  <c r="P709" i="2"/>
  <c r="Q709" i="2"/>
  <c r="R709" i="2"/>
  <c r="S709" i="2" s="1"/>
  <c r="C710" i="2"/>
  <c r="D710" i="2"/>
  <c r="E710" i="2"/>
  <c r="H710" i="2"/>
  <c r="I710" i="2"/>
  <c r="J710" i="2"/>
  <c r="K710" i="2"/>
  <c r="L710" i="2"/>
  <c r="M710" i="2" s="1"/>
  <c r="N710" i="2"/>
  <c r="P710" i="2"/>
  <c r="Q710" i="2"/>
  <c r="R710" i="2"/>
  <c r="S710" i="2" s="1"/>
  <c r="C711" i="2"/>
  <c r="D711" i="2"/>
  <c r="E711" i="2"/>
  <c r="F711" i="2" s="1"/>
  <c r="G711" i="2"/>
  <c r="O711" i="2" s="1"/>
  <c r="H711" i="2"/>
  <c r="I711" i="2"/>
  <c r="J711" i="2"/>
  <c r="K711" i="2"/>
  <c r="L711" i="2"/>
  <c r="M711" i="2" s="1"/>
  <c r="N711" i="2"/>
  <c r="P711" i="2"/>
  <c r="Q711" i="2"/>
  <c r="R711" i="2"/>
  <c r="S711" i="2" s="1"/>
  <c r="C712" i="2"/>
  <c r="D712" i="2"/>
  <c r="E712" i="2"/>
  <c r="G712" i="2" s="1"/>
  <c r="H712" i="2"/>
  <c r="I712" i="2"/>
  <c r="J712" i="2"/>
  <c r="K712" i="2"/>
  <c r="L712" i="2"/>
  <c r="M712" i="2" s="1"/>
  <c r="N712" i="2"/>
  <c r="P712" i="2"/>
  <c r="Q712" i="2"/>
  <c r="R712" i="2"/>
  <c r="S712" i="2" s="1"/>
  <c r="C713" i="2"/>
  <c r="D713" i="2"/>
  <c r="E713" i="2"/>
  <c r="H713" i="2"/>
  <c r="I713" i="2"/>
  <c r="J713" i="2"/>
  <c r="K713" i="2"/>
  <c r="L713" i="2"/>
  <c r="M713" i="2" s="1"/>
  <c r="N713" i="2"/>
  <c r="P713" i="2"/>
  <c r="Q713" i="2"/>
  <c r="R713" i="2"/>
  <c r="S713" i="2" s="1"/>
  <c r="C714" i="2"/>
  <c r="D714" i="2"/>
  <c r="E714" i="2"/>
  <c r="H714" i="2"/>
  <c r="I714" i="2"/>
  <c r="J714" i="2"/>
  <c r="K714" i="2"/>
  <c r="L714" i="2"/>
  <c r="M714" i="2" s="1"/>
  <c r="N714" i="2"/>
  <c r="P714" i="2"/>
  <c r="Q714" i="2"/>
  <c r="R714" i="2"/>
  <c r="S714" i="2" s="1"/>
  <c r="C715" i="2"/>
  <c r="D715" i="2"/>
  <c r="E715" i="2"/>
  <c r="G715" i="2" s="1"/>
  <c r="H715" i="2"/>
  <c r="I715" i="2"/>
  <c r="J715" i="2"/>
  <c r="K715" i="2"/>
  <c r="L715" i="2"/>
  <c r="M715" i="2" s="1"/>
  <c r="N715" i="2"/>
  <c r="P715" i="2"/>
  <c r="Q715" i="2"/>
  <c r="R715" i="2"/>
  <c r="S715" i="2"/>
  <c r="C716" i="2"/>
  <c r="D716" i="2"/>
  <c r="E716" i="2"/>
  <c r="G716" i="2" s="1"/>
  <c r="F716" i="2"/>
  <c r="H716" i="2"/>
  <c r="I716" i="2"/>
  <c r="J716" i="2"/>
  <c r="K716" i="2"/>
  <c r="L716" i="2"/>
  <c r="M716" i="2" s="1"/>
  <c r="N716" i="2"/>
  <c r="P716" i="2"/>
  <c r="Q716" i="2"/>
  <c r="R716" i="2"/>
  <c r="S716" i="2" s="1"/>
  <c r="C717" i="2"/>
  <c r="D717" i="2"/>
  <c r="E717" i="2"/>
  <c r="H717" i="2"/>
  <c r="I717" i="2"/>
  <c r="J717" i="2"/>
  <c r="K717" i="2"/>
  <c r="L717" i="2"/>
  <c r="M717" i="2" s="1"/>
  <c r="N717" i="2"/>
  <c r="P717" i="2"/>
  <c r="Q717" i="2"/>
  <c r="R717" i="2"/>
  <c r="S717" i="2" s="1"/>
  <c r="C718" i="2"/>
  <c r="D718" i="2"/>
  <c r="E718" i="2"/>
  <c r="H718" i="2"/>
  <c r="I718" i="2"/>
  <c r="J718" i="2"/>
  <c r="K718" i="2"/>
  <c r="L718" i="2"/>
  <c r="M718" i="2" s="1"/>
  <c r="N718" i="2"/>
  <c r="P718" i="2"/>
  <c r="Q718" i="2"/>
  <c r="R718" i="2"/>
  <c r="S718" i="2" s="1"/>
  <c r="C719" i="2"/>
  <c r="D719" i="2"/>
  <c r="E719" i="2"/>
  <c r="G719" i="2" s="1"/>
  <c r="H719" i="2"/>
  <c r="I719" i="2"/>
  <c r="J719" i="2"/>
  <c r="K719" i="2"/>
  <c r="L719" i="2"/>
  <c r="M719" i="2" s="1"/>
  <c r="N719" i="2"/>
  <c r="P719" i="2"/>
  <c r="Q719" i="2"/>
  <c r="R719" i="2"/>
  <c r="S719" i="2" s="1"/>
  <c r="C720" i="2"/>
  <c r="D720" i="2"/>
  <c r="E720" i="2"/>
  <c r="G720" i="2" s="1"/>
  <c r="H720" i="2"/>
  <c r="I720" i="2"/>
  <c r="J720" i="2"/>
  <c r="K720" i="2"/>
  <c r="L720" i="2"/>
  <c r="M720" i="2"/>
  <c r="N720" i="2"/>
  <c r="P720" i="2"/>
  <c r="Q720" i="2"/>
  <c r="R720" i="2"/>
  <c r="S720" i="2" s="1"/>
  <c r="C721" i="2"/>
  <c r="D721" i="2"/>
  <c r="E721" i="2"/>
  <c r="H721" i="2"/>
  <c r="I721" i="2"/>
  <c r="J721" i="2"/>
  <c r="K721" i="2"/>
  <c r="L721" i="2"/>
  <c r="M721" i="2" s="1"/>
  <c r="N721" i="2"/>
  <c r="P721" i="2"/>
  <c r="Q721" i="2"/>
  <c r="R721" i="2"/>
  <c r="S721" i="2" s="1"/>
  <c r="C722" i="2"/>
  <c r="D722" i="2"/>
  <c r="E722" i="2"/>
  <c r="H722" i="2"/>
  <c r="I722" i="2"/>
  <c r="J722" i="2"/>
  <c r="K722" i="2"/>
  <c r="L722" i="2"/>
  <c r="M722" i="2" s="1"/>
  <c r="N722" i="2"/>
  <c r="P722" i="2"/>
  <c r="Q722" i="2"/>
  <c r="R722" i="2"/>
  <c r="S722" i="2" s="1"/>
  <c r="C723" i="2"/>
  <c r="D723" i="2"/>
  <c r="E723" i="2"/>
  <c r="F723" i="2" s="1"/>
  <c r="H723" i="2"/>
  <c r="I723" i="2"/>
  <c r="J723" i="2"/>
  <c r="K723" i="2"/>
  <c r="L723" i="2"/>
  <c r="M723" i="2" s="1"/>
  <c r="N723" i="2"/>
  <c r="P723" i="2"/>
  <c r="Q723" i="2"/>
  <c r="R723" i="2"/>
  <c r="S723" i="2" s="1"/>
  <c r="C724" i="2"/>
  <c r="D724" i="2"/>
  <c r="E724" i="2"/>
  <c r="G724" i="2" s="1"/>
  <c r="O724" i="2" s="1"/>
  <c r="H724" i="2"/>
  <c r="I724" i="2"/>
  <c r="J724" i="2"/>
  <c r="K724" i="2"/>
  <c r="L724" i="2"/>
  <c r="M724" i="2"/>
  <c r="N724" i="2"/>
  <c r="P724" i="2"/>
  <c r="Q724" i="2"/>
  <c r="R724" i="2"/>
  <c r="S724" i="2" s="1"/>
  <c r="C725" i="2"/>
  <c r="D725" i="2"/>
  <c r="E725" i="2"/>
  <c r="G725" i="2" s="1"/>
  <c r="H725" i="2"/>
  <c r="I725" i="2"/>
  <c r="J725" i="2"/>
  <c r="K725" i="2"/>
  <c r="L725" i="2"/>
  <c r="M725" i="2" s="1"/>
  <c r="N725" i="2"/>
  <c r="P725" i="2"/>
  <c r="Q725" i="2"/>
  <c r="R725" i="2"/>
  <c r="S725" i="2" s="1"/>
  <c r="C726" i="2"/>
  <c r="D726" i="2"/>
  <c r="E726" i="2"/>
  <c r="F726" i="2" s="1"/>
  <c r="G726" i="2"/>
  <c r="O726" i="2" s="1"/>
  <c r="H726" i="2"/>
  <c r="I726" i="2"/>
  <c r="J726" i="2"/>
  <c r="K726" i="2"/>
  <c r="L726" i="2"/>
  <c r="M726" i="2" s="1"/>
  <c r="N726" i="2"/>
  <c r="P726" i="2"/>
  <c r="Q726" i="2"/>
  <c r="R726" i="2"/>
  <c r="S726" i="2" s="1"/>
  <c r="C727" i="2"/>
  <c r="D727" i="2"/>
  <c r="E727" i="2"/>
  <c r="F727" i="2" s="1"/>
  <c r="H727" i="2"/>
  <c r="I727" i="2"/>
  <c r="J727" i="2"/>
  <c r="K727" i="2"/>
  <c r="L727" i="2"/>
  <c r="M727" i="2" s="1"/>
  <c r="N727" i="2"/>
  <c r="P727" i="2"/>
  <c r="Q727" i="2"/>
  <c r="R727" i="2"/>
  <c r="S727" i="2" s="1"/>
  <c r="C728" i="2"/>
  <c r="D728" i="2"/>
  <c r="E728" i="2"/>
  <c r="H728" i="2"/>
  <c r="I728" i="2"/>
  <c r="J728" i="2"/>
  <c r="K728" i="2"/>
  <c r="L728" i="2"/>
  <c r="M728" i="2" s="1"/>
  <c r="N728" i="2"/>
  <c r="P728" i="2"/>
  <c r="Q728" i="2"/>
  <c r="R728" i="2"/>
  <c r="S728" i="2" s="1"/>
  <c r="C729" i="2"/>
  <c r="D729" i="2"/>
  <c r="E729" i="2"/>
  <c r="F729" i="2" s="1"/>
  <c r="H729" i="2"/>
  <c r="I729" i="2"/>
  <c r="J729" i="2"/>
  <c r="K729" i="2"/>
  <c r="L729" i="2"/>
  <c r="M729" i="2"/>
  <c r="N729" i="2"/>
  <c r="P729" i="2"/>
  <c r="Q729" i="2"/>
  <c r="R729" i="2"/>
  <c r="S729" i="2" s="1"/>
  <c r="C730" i="2"/>
  <c r="D730" i="2"/>
  <c r="E730" i="2"/>
  <c r="F730" i="2" s="1"/>
  <c r="G730" i="2"/>
  <c r="H730" i="2"/>
  <c r="I730" i="2"/>
  <c r="J730" i="2"/>
  <c r="K730" i="2"/>
  <c r="L730" i="2"/>
  <c r="M730" i="2" s="1"/>
  <c r="N730" i="2"/>
  <c r="P730" i="2"/>
  <c r="Q730" i="2"/>
  <c r="R730" i="2"/>
  <c r="S730" i="2" s="1"/>
  <c r="C731" i="2"/>
  <c r="D731" i="2"/>
  <c r="E731" i="2"/>
  <c r="F731" i="2" s="1"/>
  <c r="H731" i="2"/>
  <c r="I731" i="2"/>
  <c r="J731" i="2"/>
  <c r="K731" i="2"/>
  <c r="L731" i="2"/>
  <c r="M731" i="2" s="1"/>
  <c r="N731" i="2"/>
  <c r="P731" i="2"/>
  <c r="Q731" i="2"/>
  <c r="R731" i="2"/>
  <c r="S731" i="2" s="1"/>
  <c r="C732" i="2"/>
  <c r="D732" i="2"/>
  <c r="E732" i="2"/>
  <c r="H732" i="2"/>
  <c r="I732" i="2"/>
  <c r="J732" i="2"/>
  <c r="K732" i="2"/>
  <c r="L732" i="2"/>
  <c r="M732" i="2" s="1"/>
  <c r="N732" i="2"/>
  <c r="P732" i="2"/>
  <c r="Q732" i="2"/>
  <c r="R732" i="2"/>
  <c r="S732" i="2" s="1"/>
  <c r="C733" i="2"/>
  <c r="D733" i="2"/>
  <c r="E733" i="2"/>
  <c r="F733" i="2" s="1"/>
  <c r="H733" i="2"/>
  <c r="I733" i="2"/>
  <c r="J733" i="2"/>
  <c r="K733" i="2"/>
  <c r="L733" i="2"/>
  <c r="M733" i="2" s="1"/>
  <c r="N733" i="2"/>
  <c r="P733" i="2"/>
  <c r="Q733" i="2"/>
  <c r="R733" i="2"/>
  <c r="S733" i="2" s="1"/>
  <c r="C734" i="2"/>
  <c r="D734" i="2"/>
  <c r="E734" i="2"/>
  <c r="F734" i="2" s="1"/>
  <c r="G734" i="2"/>
  <c r="H734" i="2"/>
  <c r="I734" i="2"/>
  <c r="J734" i="2"/>
  <c r="K734" i="2"/>
  <c r="L734" i="2"/>
  <c r="M734" i="2" s="1"/>
  <c r="N734" i="2"/>
  <c r="P734" i="2"/>
  <c r="Q734" i="2"/>
  <c r="R734" i="2"/>
  <c r="S734" i="2" s="1"/>
  <c r="C735" i="2"/>
  <c r="D735" i="2"/>
  <c r="E735" i="2"/>
  <c r="H735" i="2"/>
  <c r="I735" i="2"/>
  <c r="J735" i="2"/>
  <c r="K735" i="2"/>
  <c r="L735" i="2"/>
  <c r="M735" i="2" s="1"/>
  <c r="N735" i="2"/>
  <c r="P735" i="2"/>
  <c r="Q735" i="2"/>
  <c r="R735" i="2"/>
  <c r="S735" i="2" s="1"/>
  <c r="C736" i="2"/>
  <c r="D736" i="2"/>
  <c r="E736" i="2"/>
  <c r="H736" i="2"/>
  <c r="I736" i="2"/>
  <c r="J736" i="2"/>
  <c r="K736" i="2"/>
  <c r="L736" i="2"/>
  <c r="M736" i="2"/>
  <c r="N736" i="2"/>
  <c r="P736" i="2"/>
  <c r="Q736" i="2"/>
  <c r="R736" i="2"/>
  <c r="S736" i="2" s="1"/>
  <c r="C737" i="2"/>
  <c r="D737" i="2"/>
  <c r="E737" i="2"/>
  <c r="F737" i="2" s="1"/>
  <c r="H737" i="2"/>
  <c r="I737" i="2"/>
  <c r="J737" i="2"/>
  <c r="K737" i="2"/>
  <c r="L737" i="2"/>
  <c r="M737" i="2" s="1"/>
  <c r="N737" i="2"/>
  <c r="P737" i="2"/>
  <c r="Q737" i="2"/>
  <c r="R737" i="2"/>
  <c r="S737" i="2" s="1"/>
  <c r="C738" i="2"/>
  <c r="D738" i="2"/>
  <c r="E738" i="2"/>
  <c r="H738" i="2"/>
  <c r="I738" i="2"/>
  <c r="J738" i="2"/>
  <c r="K738" i="2"/>
  <c r="L738" i="2"/>
  <c r="M738" i="2" s="1"/>
  <c r="N738" i="2"/>
  <c r="P738" i="2"/>
  <c r="Q738" i="2"/>
  <c r="R738" i="2"/>
  <c r="S738" i="2" s="1"/>
  <c r="C739" i="2"/>
  <c r="D739" i="2"/>
  <c r="E739" i="2"/>
  <c r="H739" i="2"/>
  <c r="I739" i="2"/>
  <c r="J739" i="2"/>
  <c r="K739" i="2"/>
  <c r="L739" i="2"/>
  <c r="M739" i="2"/>
  <c r="N739" i="2"/>
  <c r="P739" i="2"/>
  <c r="Q739" i="2"/>
  <c r="R739" i="2"/>
  <c r="S739" i="2" s="1"/>
  <c r="C740" i="2"/>
  <c r="D740" i="2"/>
  <c r="E740" i="2"/>
  <c r="H740" i="2"/>
  <c r="I740" i="2"/>
  <c r="J740" i="2"/>
  <c r="K740" i="2"/>
  <c r="L740" i="2"/>
  <c r="M740" i="2"/>
  <c r="N740" i="2"/>
  <c r="P740" i="2"/>
  <c r="Q740" i="2"/>
  <c r="R740" i="2"/>
  <c r="S740" i="2" s="1"/>
  <c r="C741" i="2"/>
  <c r="D741" i="2"/>
  <c r="E741" i="2"/>
  <c r="F741" i="2" s="1"/>
  <c r="H741" i="2"/>
  <c r="I741" i="2"/>
  <c r="J741" i="2"/>
  <c r="K741" i="2"/>
  <c r="L741" i="2"/>
  <c r="M741" i="2" s="1"/>
  <c r="N741" i="2"/>
  <c r="P741" i="2"/>
  <c r="Q741" i="2"/>
  <c r="R741" i="2"/>
  <c r="S741" i="2" s="1"/>
  <c r="C742" i="2"/>
  <c r="D742" i="2"/>
  <c r="E742" i="2"/>
  <c r="H742" i="2"/>
  <c r="I742" i="2"/>
  <c r="J742" i="2"/>
  <c r="K742" i="2"/>
  <c r="L742" i="2"/>
  <c r="M742" i="2" s="1"/>
  <c r="N742" i="2"/>
  <c r="P742" i="2"/>
  <c r="Q742" i="2"/>
  <c r="R742" i="2"/>
  <c r="S742" i="2" s="1"/>
  <c r="C743" i="2"/>
  <c r="D743" i="2"/>
  <c r="E743" i="2"/>
  <c r="H743" i="2"/>
  <c r="I743" i="2"/>
  <c r="J743" i="2"/>
  <c r="K743" i="2"/>
  <c r="L743" i="2"/>
  <c r="M743" i="2" s="1"/>
  <c r="N743" i="2"/>
  <c r="P743" i="2"/>
  <c r="Q743" i="2"/>
  <c r="R743" i="2"/>
  <c r="S743" i="2" s="1"/>
  <c r="C744" i="2"/>
  <c r="D744" i="2"/>
  <c r="E744" i="2"/>
  <c r="H744" i="2"/>
  <c r="I744" i="2"/>
  <c r="J744" i="2"/>
  <c r="K744" i="2"/>
  <c r="L744" i="2"/>
  <c r="M744" i="2"/>
  <c r="N744" i="2"/>
  <c r="P744" i="2"/>
  <c r="Q744" i="2"/>
  <c r="R744" i="2"/>
  <c r="S744" i="2" s="1"/>
  <c r="C745" i="2"/>
  <c r="D745" i="2"/>
  <c r="E745" i="2"/>
  <c r="F745" i="2" s="1"/>
  <c r="H745" i="2"/>
  <c r="I745" i="2"/>
  <c r="J745" i="2"/>
  <c r="K745" i="2"/>
  <c r="L745" i="2"/>
  <c r="M745" i="2" s="1"/>
  <c r="N745" i="2"/>
  <c r="P745" i="2"/>
  <c r="Q745" i="2"/>
  <c r="R745" i="2"/>
  <c r="S745" i="2" s="1"/>
  <c r="C746" i="2"/>
  <c r="D746" i="2"/>
  <c r="E746" i="2"/>
  <c r="H746" i="2"/>
  <c r="I746" i="2"/>
  <c r="J746" i="2"/>
  <c r="K746" i="2"/>
  <c r="L746" i="2"/>
  <c r="M746" i="2" s="1"/>
  <c r="N746" i="2"/>
  <c r="P746" i="2"/>
  <c r="Q746" i="2"/>
  <c r="R746" i="2"/>
  <c r="S746" i="2" s="1"/>
  <c r="C747" i="2"/>
  <c r="D747" i="2"/>
  <c r="E747" i="2"/>
  <c r="H747" i="2"/>
  <c r="I747" i="2"/>
  <c r="J747" i="2"/>
  <c r="K747" i="2"/>
  <c r="L747" i="2"/>
  <c r="M747" i="2"/>
  <c r="N747" i="2"/>
  <c r="P747" i="2"/>
  <c r="Q747" i="2"/>
  <c r="R747" i="2"/>
  <c r="S747" i="2" s="1"/>
  <c r="C748" i="2"/>
  <c r="D748" i="2"/>
  <c r="E748" i="2"/>
  <c r="H748" i="2"/>
  <c r="I748" i="2"/>
  <c r="J748" i="2"/>
  <c r="K748" i="2"/>
  <c r="L748" i="2"/>
  <c r="M748" i="2"/>
  <c r="N748" i="2"/>
  <c r="P748" i="2"/>
  <c r="Q748" i="2"/>
  <c r="R748" i="2"/>
  <c r="S748" i="2" s="1"/>
  <c r="C749" i="2"/>
  <c r="D749" i="2"/>
  <c r="E749" i="2"/>
  <c r="F749" i="2" s="1"/>
  <c r="H749" i="2"/>
  <c r="I749" i="2"/>
  <c r="J749" i="2"/>
  <c r="K749" i="2"/>
  <c r="L749" i="2"/>
  <c r="M749" i="2" s="1"/>
  <c r="N749" i="2"/>
  <c r="P749" i="2"/>
  <c r="Q749" i="2"/>
  <c r="R749" i="2"/>
  <c r="S749" i="2" s="1"/>
  <c r="C750" i="2"/>
  <c r="D750" i="2"/>
  <c r="E750" i="2"/>
  <c r="H750" i="2"/>
  <c r="I750" i="2"/>
  <c r="J750" i="2"/>
  <c r="K750" i="2"/>
  <c r="L750" i="2"/>
  <c r="M750" i="2" s="1"/>
  <c r="N750" i="2"/>
  <c r="P750" i="2"/>
  <c r="Q750" i="2"/>
  <c r="R750" i="2"/>
  <c r="S750" i="2" s="1"/>
  <c r="C751" i="2"/>
  <c r="D751" i="2"/>
  <c r="E751" i="2"/>
  <c r="H751" i="2"/>
  <c r="I751" i="2"/>
  <c r="J751" i="2"/>
  <c r="K751" i="2"/>
  <c r="L751" i="2"/>
  <c r="M751" i="2" s="1"/>
  <c r="N751" i="2"/>
  <c r="P751" i="2"/>
  <c r="Q751" i="2"/>
  <c r="R751" i="2"/>
  <c r="S751" i="2" s="1"/>
  <c r="C752" i="2"/>
  <c r="D752" i="2"/>
  <c r="E752" i="2"/>
  <c r="H752" i="2"/>
  <c r="I752" i="2"/>
  <c r="J752" i="2"/>
  <c r="K752" i="2"/>
  <c r="L752" i="2"/>
  <c r="M752" i="2" s="1"/>
  <c r="N752" i="2"/>
  <c r="P752" i="2"/>
  <c r="Q752" i="2"/>
  <c r="R752" i="2"/>
  <c r="S752" i="2" s="1"/>
  <c r="C753" i="2"/>
  <c r="D753" i="2"/>
  <c r="E753" i="2"/>
  <c r="F753" i="2" s="1"/>
  <c r="H753" i="2"/>
  <c r="I753" i="2"/>
  <c r="J753" i="2"/>
  <c r="K753" i="2"/>
  <c r="L753" i="2"/>
  <c r="M753" i="2" s="1"/>
  <c r="N753" i="2"/>
  <c r="P753" i="2"/>
  <c r="Q753" i="2"/>
  <c r="R753" i="2"/>
  <c r="S753" i="2" s="1"/>
  <c r="C754" i="2"/>
  <c r="D754" i="2"/>
  <c r="E754" i="2"/>
  <c r="H754" i="2"/>
  <c r="I754" i="2"/>
  <c r="J754" i="2"/>
  <c r="K754" i="2"/>
  <c r="L754" i="2"/>
  <c r="M754" i="2" s="1"/>
  <c r="N754" i="2"/>
  <c r="P754" i="2"/>
  <c r="Q754" i="2"/>
  <c r="R754" i="2"/>
  <c r="S754" i="2" s="1"/>
  <c r="C755" i="2"/>
  <c r="D755" i="2"/>
  <c r="E755" i="2"/>
  <c r="H755" i="2"/>
  <c r="I755" i="2"/>
  <c r="J755" i="2"/>
  <c r="K755" i="2"/>
  <c r="L755" i="2"/>
  <c r="M755" i="2"/>
  <c r="N755" i="2"/>
  <c r="P755" i="2"/>
  <c r="Q755" i="2"/>
  <c r="R755" i="2"/>
  <c r="S755" i="2" s="1"/>
  <c r="C756" i="2"/>
  <c r="D756" i="2"/>
  <c r="E756" i="2"/>
  <c r="H756" i="2"/>
  <c r="I756" i="2"/>
  <c r="J756" i="2"/>
  <c r="K756" i="2"/>
  <c r="L756" i="2"/>
  <c r="M756" i="2" s="1"/>
  <c r="N756" i="2"/>
  <c r="P756" i="2"/>
  <c r="Q756" i="2"/>
  <c r="R756" i="2"/>
  <c r="S756" i="2" s="1"/>
  <c r="C757" i="2"/>
  <c r="D757" i="2"/>
  <c r="E757" i="2"/>
  <c r="F757" i="2" s="1"/>
  <c r="H757" i="2"/>
  <c r="I757" i="2"/>
  <c r="J757" i="2"/>
  <c r="K757" i="2"/>
  <c r="L757" i="2"/>
  <c r="M757" i="2"/>
  <c r="N757" i="2"/>
  <c r="P757" i="2"/>
  <c r="Q757" i="2"/>
  <c r="R757" i="2"/>
  <c r="S757" i="2" s="1"/>
  <c r="C758" i="2"/>
  <c r="D758" i="2"/>
  <c r="E758" i="2"/>
  <c r="H758" i="2"/>
  <c r="I758" i="2"/>
  <c r="J758" i="2"/>
  <c r="K758" i="2"/>
  <c r="L758" i="2"/>
  <c r="M758" i="2" s="1"/>
  <c r="N758" i="2"/>
  <c r="P758" i="2"/>
  <c r="Q758" i="2"/>
  <c r="R758" i="2"/>
  <c r="S758" i="2" s="1"/>
  <c r="C759" i="2"/>
  <c r="D759" i="2"/>
  <c r="E759" i="2"/>
  <c r="H759" i="2"/>
  <c r="I759" i="2"/>
  <c r="J759" i="2"/>
  <c r="K759" i="2"/>
  <c r="L759" i="2"/>
  <c r="M759" i="2"/>
  <c r="N759" i="2"/>
  <c r="P759" i="2"/>
  <c r="Q759" i="2"/>
  <c r="R759" i="2"/>
  <c r="S759" i="2" s="1"/>
  <c r="C760" i="2"/>
  <c r="D760" i="2"/>
  <c r="E760" i="2"/>
  <c r="H760" i="2"/>
  <c r="I760" i="2"/>
  <c r="J760" i="2"/>
  <c r="K760" i="2"/>
  <c r="L760" i="2"/>
  <c r="M760" i="2" s="1"/>
  <c r="N760" i="2"/>
  <c r="P760" i="2"/>
  <c r="Q760" i="2"/>
  <c r="R760" i="2"/>
  <c r="S760" i="2" s="1"/>
  <c r="C761" i="2"/>
  <c r="D761" i="2"/>
  <c r="E761" i="2"/>
  <c r="F761" i="2" s="1"/>
  <c r="H761" i="2"/>
  <c r="I761" i="2"/>
  <c r="J761" i="2"/>
  <c r="K761" i="2"/>
  <c r="L761" i="2"/>
  <c r="M761" i="2" s="1"/>
  <c r="N761" i="2"/>
  <c r="P761" i="2"/>
  <c r="Q761" i="2"/>
  <c r="R761" i="2"/>
  <c r="S761" i="2" s="1"/>
  <c r="C762" i="2"/>
  <c r="D762" i="2"/>
  <c r="E762" i="2"/>
  <c r="H762" i="2"/>
  <c r="I762" i="2"/>
  <c r="J762" i="2"/>
  <c r="K762" i="2"/>
  <c r="L762" i="2"/>
  <c r="M762" i="2" s="1"/>
  <c r="N762" i="2"/>
  <c r="P762" i="2"/>
  <c r="Q762" i="2"/>
  <c r="R762" i="2"/>
  <c r="S762" i="2" s="1"/>
  <c r="C763" i="2"/>
  <c r="D763" i="2"/>
  <c r="E763" i="2"/>
  <c r="H763" i="2"/>
  <c r="I763" i="2"/>
  <c r="J763" i="2"/>
  <c r="K763" i="2"/>
  <c r="L763" i="2"/>
  <c r="M763" i="2" s="1"/>
  <c r="N763" i="2"/>
  <c r="P763" i="2"/>
  <c r="Q763" i="2"/>
  <c r="R763" i="2"/>
  <c r="S763" i="2" s="1"/>
  <c r="C764" i="2"/>
  <c r="D764" i="2"/>
  <c r="E764" i="2"/>
  <c r="H764" i="2"/>
  <c r="I764" i="2"/>
  <c r="J764" i="2"/>
  <c r="K764" i="2"/>
  <c r="L764" i="2"/>
  <c r="M764" i="2"/>
  <c r="N764" i="2"/>
  <c r="P764" i="2"/>
  <c r="Q764" i="2"/>
  <c r="R764" i="2"/>
  <c r="S764" i="2" s="1"/>
  <c r="C765" i="2"/>
  <c r="D765" i="2"/>
  <c r="E765" i="2"/>
  <c r="F765" i="2" s="1"/>
  <c r="H765" i="2"/>
  <c r="I765" i="2"/>
  <c r="J765" i="2"/>
  <c r="K765" i="2"/>
  <c r="L765" i="2"/>
  <c r="M765" i="2"/>
  <c r="N765" i="2"/>
  <c r="P765" i="2"/>
  <c r="Q765" i="2"/>
  <c r="R765" i="2"/>
  <c r="S765" i="2" s="1"/>
  <c r="C766" i="2"/>
  <c r="D766" i="2"/>
  <c r="E766" i="2"/>
  <c r="H766" i="2"/>
  <c r="I766" i="2"/>
  <c r="J766" i="2"/>
  <c r="K766" i="2"/>
  <c r="L766" i="2"/>
  <c r="M766" i="2" s="1"/>
  <c r="N766" i="2"/>
  <c r="P766" i="2"/>
  <c r="Q766" i="2"/>
  <c r="R766" i="2"/>
  <c r="S766" i="2" s="1"/>
  <c r="C767" i="2"/>
  <c r="D767" i="2"/>
  <c r="E767" i="2"/>
  <c r="H767" i="2"/>
  <c r="I767" i="2"/>
  <c r="J767" i="2"/>
  <c r="K767" i="2"/>
  <c r="L767" i="2"/>
  <c r="M767" i="2" s="1"/>
  <c r="N767" i="2"/>
  <c r="P767" i="2"/>
  <c r="Q767" i="2"/>
  <c r="R767" i="2"/>
  <c r="S767" i="2" s="1"/>
  <c r="C768" i="2"/>
  <c r="D768" i="2"/>
  <c r="E768" i="2"/>
  <c r="H768" i="2"/>
  <c r="I768" i="2"/>
  <c r="J768" i="2"/>
  <c r="K768" i="2"/>
  <c r="L768" i="2"/>
  <c r="M768" i="2" s="1"/>
  <c r="N768" i="2"/>
  <c r="P768" i="2"/>
  <c r="Q768" i="2"/>
  <c r="R768" i="2"/>
  <c r="S768" i="2" s="1"/>
  <c r="C769" i="2"/>
  <c r="D769" i="2"/>
  <c r="E769" i="2"/>
  <c r="F769" i="2" s="1"/>
  <c r="H769" i="2"/>
  <c r="I769" i="2"/>
  <c r="J769" i="2"/>
  <c r="K769" i="2"/>
  <c r="L769" i="2"/>
  <c r="M769" i="2" s="1"/>
  <c r="N769" i="2"/>
  <c r="P769" i="2"/>
  <c r="Q769" i="2"/>
  <c r="R769" i="2"/>
  <c r="S769" i="2" s="1"/>
  <c r="C770" i="2"/>
  <c r="D770" i="2"/>
  <c r="E770" i="2"/>
  <c r="H770" i="2"/>
  <c r="I770" i="2"/>
  <c r="J770" i="2"/>
  <c r="K770" i="2"/>
  <c r="L770" i="2"/>
  <c r="M770" i="2" s="1"/>
  <c r="N770" i="2"/>
  <c r="P770" i="2"/>
  <c r="Q770" i="2"/>
  <c r="R770" i="2"/>
  <c r="S770" i="2" s="1"/>
  <c r="C771" i="2"/>
  <c r="D771" i="2"/>
  <c r="E771" i="2"/>
  <c r="H771" i="2"/>
  <c r="I771" i="2"/>
  <c r="J771" i="2"/>
  <c r="K771" i="2"/>
  <c r="L771" i="2"/>
  <c r="M771" i="2" s="1"/>
  <c r="N771" i="2"/>
  <c r="P771" i="2"/>
  <c r="Q771" i="2"/>
  <c r="R771" i="2"/>
  <c r="S771" i="2" s="1"/>
  <c r="C772" i="2"/>
  <c r="D772" i="2"/>
  <c r="E772" i="2"/>
  <c r="H772" i="2"/>
  <c r="I772" i="2"/>
  <c r="J772" i="2"/>
  <c r="K772" i="2"/>
  <c r="L772" i="2"/>
  <c r="M772" i="2"/>
  <c r="N772" i="2"/>
  <c r="P772" i="2"/>
  <c r="Q772" i="2"/>
  <c r="R772" i="2"/>
  <c r="S772" i="2" s="1"/>
  <c r="C773" i="2"/>
  <c r="D773" i="2"/>
  <c r="E773" i="2"/>
  <c r="F773" i="2" s="1"/>
  <c r="H773" i="2"/>
  <c r="I773" i="2"/>
  <c r="J773" i="2"/>
  <c r="K773" i="2"/>
  <c r="L773" i="2"/>
  <c r="M773" i="2"/>
  <c r="N773" i="2"/>
  <c r="P773" i="2"/>
  <c r="Q773" i="2"/>
  <c r="R773" i="2"/>
  <c r="S773" i="2" s="1"/>
  <c r="C774" i="2"/>
  <c r="D774" i="2"/>
  <c r="E774" i="2"/>
  <c r="H774" i="2"/>
  <c r="I774" i="2"/>
  <c r="J774" i="2"/>
  <c r="K774" i="2"/>
  <c r="L774" i="2"/>
  <c r="M774" i="2" s="1"/>
  <c r="N774" i="2"/>
  <c r="P774" i="2"/>
  <c r="Q774" i="2"/>
  <c r="R774" i="2"/>
  <c r="S774" i="2" s="1"/>
  <c r="C775" i="2"/>
  <c r="D775" i="2"/>
  <c r="E775" i="2"/>
  <c r="H775" i="2"/>
  <c r="I775" i="2"/>
  <c r="J775" i="2"/>
  <c r="K775" i="2"/>
  <c r="L775" i="2"/>
  <c r="M775" i="2" s="1"/>
  <c r="N775" i="2"/>
  <c r="P775" i="2"/>
  <c r="Q775" i="2"/>
  <c r="R775" i="2"/>
  <c r="S775" i="2" s="1"/>
  <c r="C776" i="2"/>
  <c r="D776" i="2"/>
  <c r="E776" i="2"/>
  <c r="H776" i="2"/>
  <c r="I776" i="2"/>
  <c r="J776" i="2"/>
  <c r="K776" i="2"/>
  <c r="L776" i="2"/>
  <c r="M776" i="2"/>
  <c r="N776" i="2"/>
  <c r="P776" i="2"/>
  <c r="Q776" i="2"/>
  <c r="R776" i="2"/>
  <c r="S776" i="2" s="1"/>
  <c r="C777" i="2"/>
  <c r="D777" i="2"/>
  <c r="E777" i="2"/>
  <c r="F777" i="2" s="1"/>
  <c r="H777" i="2"/>
  <c r="I777" i="2"/>
  <c r="J777" i="2"/>
  <c r="K777" i="2"/>
  <c r="L777" i="2"/>
  <c r="M777" i="2" s="1"/>
  <c r="N777" i="2"/>
  <c r="P777" i="2"/>
  <c r="Q777" i="2"/>
  <c r="R777" i="2"/>
  <c r="S777" i="2" s="1"/>
  <c r="C778" i="2"/>
  <c r="D778" i="2"/>
  <c r="E778" i="2"/>
  <c r="H778" i="2"/>
  <c r="I778" i="2"/>
  <c r="J778" i="2"/>
  <c r="K778" i="2"/>
  <c r="L778" i="2"/>
  <c r="M778" i="2" s="1"/>
  <c r="N778" i="2"/>
  <c r="P778" i="2"/>
  <c r="Q778" i="2"/>
  <c r="R778" i="2"/>
  <c r="S778" i="2" s="1"/>
  <c r="C779" i="2"/>
  <c r="D779" i="2"/>
  <c r="E779" i="2"/>
  <c r="H779" i="2"/>
  <c r="I779" i="2"/>
  <c r="J779" i="2"/>
  <c r="K779" i="2"/>
  <c r="L779" i="2"/>
  <c r="M779" i="2"/>
  <c r="N779" i="2"/>
  <c r="P779" i="2"/>
  <c r="Q779" i="2"/>
  <c r="R779" i="2"/>
  <c r="S779" i="2" s="1"/>
  <c r="C780" i="2"/>
  <c r="D780" i="2"/>
  <c r="E780" i="2"/>
  <c r="H780" i="2"/>
  <c r="I780" i="2"/>
  <c r="J780" i="2"/>
  <c r="K780" i="2"/>
  <c r="L780" i="2"/>
  <c r="M780" i="2" s="1"/>
  <c r="N780" i="2"/>
  <c r="P780" i="2"/>
  <c r="Q780" i="2"/>
  <c r="R780" i="2"/>
  <c r="S780" i="2" s="1"/>
  <c r="C781" i="2"/>
  <c r="D781" i="2"/>
  <c r="E781" i="2"/>
  <c r="F781" i="2" s="1"/>
  <c r="H781" i="2"/>
  <c r="I781" i="2"/>
  <c r="J781" i="2"/>
  <c r="K781" i="2"/>
  <c r="L781" i="2"/>
  <c r="M781" i="2" s="1"/>
  <c r="N781" i="2"/>
  <c r="P781" i="2"/>
  <c r="Q781" i="2"/>
  <c r="R781" i="2"/>
  <c r="S781" i="2" s="1"/>
  <c r="C782" i="2"/>
  <c r="D782" i="2"/>
  <c r="E782" i="2"/>
  <c r="H782" i="2"/>
  <c r="I782" i="2"/>
  <c r="J782" i="2"/>
  <c r="K782" i="2"/>
  <c r="L782" i="2"/>
  <c r="M782" i="2" s="1"/>
  <c r="N782" i="2"/>
  <c r="P782" i="2"/>
  <c r="Q782" i="2"/>
  <c r="R782" i="2"/>
  <c r="S782" i="2" s="1"/>
  <c r="C783" i="2"/>
  <c r="D783" i="2"/>
  <c r="E783" i="2"/>
  <c r="H783" i="2"/>
  <c r="I783" i="2"/>
  <c r="J783" i="2"/>
  <c r="K783" i="2"/>
  <c r="L783" i="2"/>
  <c r="M783" i="2" s="1"/>
  <c r="N783" i="2"/>
  <c r="P783" i="2"/>
  <c r="Q783" i="2"/>
  <c r="R783" i="2"/>
  <c r="S783" i="2" s="1"/>
  <c r="C784" i="2"/>
  <c r="D784" i="2"/>
  <c r="E784" i="2"/>
  <c r="H784" i="2"/>
  <c r="I784" i="2"/>
  <c r="J784" i="2"/>
  <c r="K784" i="2"/>
  <c r="L784" i="2"/>
  <c r="M784" i="2"/>
  <c r="N784" i="2"/>
  <c r="P784" i="2"/>
  <c r="Q784" i="2"/>
  <c r="R784" i="2"/>
  <c r="S784" i="2" s="1"/>
  <c r="C785" i="2"/>
  <c r="D785" i="2"/>
  <c r="E785" i="2"/>
  <c r="F785" i="2" s="1"/>
  <c r="H785" i="2"/>
  <c r="I785" i="2"/>
  <c r="J785" i="2"/>
  <c r="K785" i="2"/>
  <c r="L785" i="2"/>
  <c r="M785" i="2"/>
  <c r="N785" i="2"/>
  <c r="P785" i="2"/>
  <c r="Q785" i="2"/>
  <c r="R785" i="2"/>
  <c r="S785" i="2" s="1"/>
  <c r="C786" i="2"/>
  <c r="D786" i="2"/>
  <c r="E786" i="2"/>
  <c r="H786" i="2"/>
  <c r="I786" i="2"/>
  <c r="J786" i="2"/>
  <c r="K786" i="2"/>
  <c r="L786" i="2"/>
  <c r="M786" i="2" s="1"/>
  <c r="N786" i="2"/>
  <c r="P786" i="2"/>
  <c r="Q786" i="2"/>
  <c r="R786" i="2"/>
  <c r="S786" i="2" s="1"/>
  <c r="C787" i="2"/>
  <c r="D787" i="2"/>
  <c r="E787" i="2"/>
  <c r="H787" i="2"/>
  <c r="I787" i="2"/>
  <c r="J787" i="2"/>
  <c r="K787" i="2"/>
  <c r="L787" i="2"/>
  <c r="M787" i="2" s="1"/>
  <c r="N787" i="2"/>
  <c r="P787" i="2"/>
  <c r="Q787" i="2"/>
  <c r="R787" i="2"/>
  <c r="S787" i="2" s="1"/>
  <c r="C788" i="2"/>
  <c r="D788" i="2"/>
  <c r="E788" i="2"/>
  <c r="H788" i="2"/>
  <c r="I788" i="2"/>
  <c r="J788" i="2"/>
  <c r="K788" i="2"/>
  <c r="L788" i="2"/>
  <c r="M788" i="2" s="1"/>
  <c r="N788" i="2"/>
  <c r="P788" i="2"/>
  <c r="Q788" i="2"/>
  <c r="R788" i="2"/>
  <c r="S788" i="2" s="1"/>
  <c r="C789" i="2"/>
  <c r="D789" i="2"/>
  <c r="E789" i="2"/>
  <c r="F789" i="2" s="1"/>
  <c r="H789" i="2"/>
  <c r="I789" i="2"/>
  <c r="J789" i="2"/>
  <c r="K789" i="2"/>
  <c r="L789" i="2"/>
  <c r="M789" i="2" s="1"/>
  <c r="N789" i="2"/>
  <c r="P789" i="2"/>
  <c r="Q789" i="2"/>
  <c r="R789" i="2"/>
  <c r="S789" i="2" s="1"/>
  <c r="C790" i="2"/>
  <c r="D790" i="2"/>
  <c r="E790" i="2"/>
  <c r="H790" i="2"/>
  <c r="I790" i="2"/>
  <c r="J790" i="2"/>
  <c r="K790" i="2"/>
  <c r="L790" i="2"/>
  <c r="M790" i="2" s="1"/>
  <c r="N790" i="2"/>
  <c r="P790" i="2"/>
  <c r="Q790" i="2"/>
  <c r="R790" i="2"/>
  <c r="S790" i="2" s="1"/>
  <c r="C791" i="2"/>
  <c r="D791" i="2"/>
  <c r="E791" i="2"/>
  <c r="H791" i="2"/>
  <c r="I791" i="2"/>
  <c r="J791" i="2"/>
  <c r="K791" i="2"/>
  <c r="L791" i="2"/>
  <c r="M791" i="2"/>
  <c r="N791" i="2"/>
  <c r="P791" i="2"/>
  <c r="Q791" i="2"/>
  <c r="R791" i="2"/>
  <c r="S791" i="2" s="1"/>
  <c r="C792" i="2"/>
  <c r="D792" i="2"/>
  <c r="E792" i="2"/>
  <c r="H792" i="2"/>
  <c r="I792" i="2"/>
  <c r="J792" i="2"/>
  <c r="K792" i="2"/>
  <c r="L792" i="2"/>
  <c r="M792" i="2"/>
  <c r="N792" i="2"/>
  <c r="P792" i="2"/>
  <c r="Q792" i="2"/>
  <c r="R792" i="2"/>
  <c r="S792" i="2" s="1"/>
  <c r="C793" i="2"/>
  <c r="D793" i="2"/>
  <c r="E793" i="2"/>
  <c r="F793" i="2" s="1"/>
  <c r="H793" i="2"/>
  <c r="I793" i="2"/>
  <c r="J793" i="2"/>
  <c r="K793" i="2"/>
  <c r="L793" i="2"/>
  <c r="M793" i="2" s="1"/>
  <c r="N793" i="2"/>
  <c r="P793" i="2"/>
  <c r="Q793" i="2"/>
  <c r="R793" i="2"/>
  <c r="S793" i="2" s="1"/>
  <c r="C794" i="2"/>
  <c r="D794" i="2"/>
  <c r="E794" i="2"/>
  <c r="H794" i="2"/>
  <c r="I794" i="2"/>
  <c r="J794" i="2"/>
  <c r="K794" i="2"/>
  <c r="L794" i="2"/>
  <c r="M794" i="2" s="1"/>
  <c r="N794" i="2"/>
  <c r="P794" i="2"/>
  <c r="Q794" i="2"/>
  <c r="R794" i="2"/>
  <c r="S794" i="2" s="1"/>
  <c r="C795" i="2"/>
  <c r="D795" i="2"/>
  <c r="E795" i="2"/>
  <c r="H795" i="2"/>
  <c r="I795" i="2"/>
  <c r="J795" i="2"/>
  <c r="K795" i="2"/>
  <c r="L795" i="2"/>
  <c r="M795" i="2" s="1"/>
  <c r="N795" i="2"/>
  <c r="P795" i="2"/>
  <c r="Q795" i="2"/>
  <c r="R795" i="2"/>
  <c r="S795" i="2" s="1"/>
  <c r="C796" i="2"/>
  <c r="D796" i="2"/>
  <c r="E796" i="2"/>
  <c r="H796" i="2"/>
  <c r="I796" i="2"/>
  <c r="J796" i="2"/>
  <c r="K796" i="2"/>
  <c r="L796" i="2"/>
  <c r="M796" i="2"/>
  <c r="N796" i="2"/>
  <c r="P796" i="2"/>
  <c r="Q796" i="2"/>
  <c r="R796" i="2"/>
  <c r="S796" i="2" s="1"/>
  <c r="C797" i="2"/>
  <c r="D797" i="2"/>
  <c r="E797" i="2"/>
  <c r="F797" i="2" s="1"/>
  <c r="H797" i="2"/>
  <c r="I797" i="2"/>
  <c r="J797" i="2"/>
  <c r="K797" i="2"/>
  <c r="L797" i="2"/>
  <c r="M797" i="2"/>
  <c r="N797" i="2"/>
  <c r="P797" i="2"/>
  <c r="Q797" i="2"/>
  <c r="R797" i="2"/>
  <c r="S797" i="2" s="1"/>
  <c r="C798" i="2"/>
  <c r="D798" i="2"/>
  <c r="E798" i="2"/>
  <c r="H798" i="2"/>
  <c r="I798" i="2"/>
  <c r="J798" i="2"/>
  <c r="K798" i="2"/>
  <c r="L798" i="2"/>
  <c r="M798" i="2" s="1"/>
  <c r="N798" i="2"/>
  <c r="P798" i="2"/>
  <c r="Q798" i="2"/>
  <c r="R798" i="2"/>
  <c r="S798" i="2" s="1"/>
  <c r="C799" i="2"/>
  <c r="D799" i="2"/>
  <c r="E799" i="2"/>
  <c r="H799" i="2"/>
  <c r="I799" i="2"/>
  <c r="J799" i="2"/>
  <c r="K799" i="2"/>
  <c r="L799" i="2"/>
  <c r="M799" i="2" s="1"/>
  <c r="N799" i="2"/>
  <c r="P799" i="2"/>
  <c r="Q799" i="2"/>
  <c r="R799" i="2"/>
  <c r="S799" i="2" s="1"/>
  <c r="C800" i="2"/>
  <c r="D800" i="2"/>
  <c r="E800" i="2"/>
  <c r="H800" i="2"/>
  <c r="I800" i="2"/>
  <c r="J800" i="2"/>
  <c r="K800" i="2"/>
  <c r="L800" i="2"/>
  <c r="M800" i="2" s="1"/>
  <c r="N800" i="2"/>
  <c r="P800" i="2"/>
  <c r="Q800" i="2"/>
  <c r="R800" i="2"/>
  <c r="S800" i="2" s="1"/>
  <c r="C801" i="2"/>
  <c r="D801" i="2"/>
  <c r="E801" i="2"/>
  <c r="F801" i="2" s="1"/>
  <c r="H801" i="2"/>
  <c r="I801" i="2"/>
  <c r="J801" i="2"/>
  <c r="K801" i="2"/>
  <c r="L801" i="2"/>
  <c r="M801" i="2" s="1"/>
  <c r="N801" i="2"/>
  <c r="P801" i="2"/>
  <c r="Q801" i="2"/>
  <c r="R801" i="2"/>
  <c r="S801" i="2" s="1"/>
  <c r="C802" i="2"/>
  <c r="D802" i="2"/>
  <c r="E802" i="2"/>
  <c r="H802" i="2"/>
  <c r="I802" i="2"/>
  <c r="J802" i="2"/>
  <c r="K802" i="2"/>
  <c r="L802" i="2"/>
  <c r="M802" i="2" s="1"/>
  <c r="N802" i="2"/>
  <c r="P802" i="2"/>
  <c r="Q802" i="2"/>
  <c r="R802" i="2"/>
  <c r="S802" i="2" s="1"/>
  <c r="C803" i="2"/>
  <c r="D803" i="2"/>
  <c r="E803" i="2"/>
  <c r="H803" i="2"/>
  <c r="I803" i="2"/>
  <c r="J803" i="2"/>
  <c r="K803" i="2"/>
  <c r="L803" i="2"/>
  <c r="M803" i="2"/>
  <c r="N803" i="2"/>
  <c r="P803" i="2"/>
  <c r="Q803" i="2"/>
  <c r="R803" i="2"/>
  <c r="S803" i="2" s="1"/>
  <c r="C804" i="2"/>
  <c r="D804" i="2"/>
  <c r="E804" i="2"/>
  <c r="H804" i="2"/>
  <c r="I804" i="2"/>
  <c r="J804" i="2"/>
  <c r="K804" i="2"/>
  <c r="L804" i="2"/>
  <c r="M804" i="2"/>
  <c r="N804" i="2"/>
  <c r="P804" i="2"/>
  <c r="Q804" i="2"/>
  <c r="R804" i="2"/>
  <c r="S804" i="2" s="1"/>
  <c r="C805" i="2"/>
  <c r="D805" i="2"/>
  <c r="E805" i="2"/>
  <c r="F805" i="2" s="1"/>
  <c r="H805" i="2"/>
  <c r="I805" i="2"/>
  <c r="J805" i="2"/>
  <c r="K805" i="2"/>
  <c r="L805" i="2"/>
  <c r="M805" i="2" s="1"/>
  <c r="N805" i="2"/>
  <c r="P805" i="2"/>
  <c r="Q805" i="2"/>
  <c r="R805" i="2"/>
  <c r="S805" i="2" s="1"/>
  <c r="C806" i="2"/>
  <c r="D806" i="2"/>
  <c r="E806" i="2"/>
  <c r="H806" i="2"/>
  <c r="I806" i="2"/>
  <c r="J806" i="2"/>
  <c r="K806" i="2"/>
  <c r="L806" i="2"/>
  <c r="M806" i="2" s="1"/>
  <c r="N806" i="2"/>
  <c r="P806" i="2"/>
  <c r="Q806" i="2"/>
  <c r="R806" i="2"/>
  <c r="S806" i="2" s="1"/>
  <c r="C807" i="2"/>
  <c r="D807" i="2"/>
  <c r="E807" i="2"/>
  <c r="H807" i="2"/>
  <c r="I807" i="2"/>
  <c r="J807" i="2"/>
  <c r="K807" i="2"/>
  <c r="L807" i="2"/>
  <c r="M807" i="2" s="1"/>
  <c r="N807" i="2"/>
  <c r="P807" i="2"/>
  <c r="Q807" i="2"/>
  <c r="R807" i="2"/>
  <c r="S807" i="2" s="1"/>
  <c r="C808" i="2"/>
  <c r="D808" i="2"/>
  <c r="E808" i="2"/>
  <c r="H808" i="2"/>
  <c r="I808" i="2"/>
  <c r="J808" i="2"/>
  <c r="K808" i="2"/>
  <c r="L808" i="2"/>
  <c r="M808" i="2" s="1"/>
  <c r="N808" i="2"/>
  <c r="P808" i="2"/>
  <c r="Q808" i="2"/>
  <c r="R808" i="2"/>
  <c r="S808" i="2" s="1"/>
  <c r="C809" i="2"/>
  <c r="D809" i="2"/>
  <c r="E809" i="2"/>
  <c r="F809" i="2" s="1"/>
  <c r="H809" i="2"/>
  <c r="I809" i="2"/>
  <c r="J809" i="2"/>
  <c r="K809" i="2"/>
  <c r="L809" i="2"/>
  <c r="M809" i="2" s="1"/>
  <c r="N809" i="2"/>
  <c r="P809" i="2"/>
  <c r="Q809" i="2"/>
  <c r="R809" i="2"/>
  <c r="S809" i="2" s="1"/>
  <c r="C810" i="2"/>
  <c r="D810" i="2"/>
  <c r="E810" i="2"/>
  <c r="H810" i="2"/>
  <c r="I810" i="2"/>
  <c r="J810" i="2"/>
  <c r="K810" i="2"/>
  <c r="L810" i="2"/>
  <c r="M810" i="2" s="1"/>
  <c r="N810" i="2"/>
  <c r="P810" i="2"/>
  <c r="Q810" i="2"/>
  <c r="R810" i="2"/>
  <c r="S810" i="2" s="1"/>
  <c r="C811" i="2"/>
  <c r="D811" i="2"/>
  <c r="E811" i="2"/>
  <c r="H811" i="2"/>
  <c r="I811" i="2"/>
  <c r="J811" i="2"/>
  <c r="K811" i="2"/>
  <c r="L811" i="2"/>
  <c r="M811" i="2"/>
  <c r="N811" i="2"/>
  <c r="P811" i="2"/>
  <c r="Q811" i="2"/>
  <c r="R811" i="2"/>
  <c r="S811" i="2" s="1"/>
  <c r="C812" i="2"/>
  <c r="D812" i="2"/>
  <c r="E812" i="2"/>
  <c r="H812" i="2"/>
  <c r="I812" i="2"/>
  <c r="J812" i="2"/>
  <c r="K812" i="2"/>
  <c r="L812" i="2"/>
  <c r="M812" i="2"/>
  <c r="N812" i="2"/>
  <c r="P812" i="2"/>
  <c r="Q812" i="2"/>
  <c r="R812" i="2"/>
  <c r="S812" i="2" s="1"/>
  <c r="C813" i="2"/>
  <c r="D813" i="2"/>
  <c r="E813" i="2"/>
  <c r="F813" i="2" s="1"/>
  <c r="H813" i="2"/>
  <c r="I813" i="2"/>
  <c r="J813" i="2"/>
  <c r="K813" i="2"/>
  <c r="L813" i="2"/>
  <c r="M813" i="2" s="1"/>
  <c r="N813" i="2"/>
  <c r="P813" i="2"/>
  <c r="Q813" i="2"/>
  <c r="R813" i="2"/>
  <c r="S813" i="2" s="1"/>
  <c r="C814" i="2"/>
  <c r="D814" i="2"/>
  <c r="E814" i="2"/>
  <c r="H814" i="2"/>
  <c r="I814" i="2"/>
  <c r="J814" i="2"/>
  <c r="K814" i="2"/>
  <c r="L814" i="2"/>
  <c r="M814" i="2" s="1"/>
  <c r="N814" i="2"/>
  <c r="P814" i="2"/>
  <c r="Q814" i="2"/>
  <c r="R814" i="2"/>
  <c r="S814" i="2" s="1"/>
  <c r="C815" i="2"/>
  <c r="D815" i="2"/>
  <c r="E815" i="2"/>
  <c r="H815" i="2"/>
  <c r="I815" i="2"/>
  <c r="J815" i="2"/>
  <c r="K815" i="2"/>
  <c r="L815" i="2"/>
  <c r="M815" i="2" s="1"/>
  <c r="N815" i="2"/>
  <c r="P815" i="2"/>
  <c r="Q815" i="2"/>
  <c r="R815" i="2"/>
  <c r="S815" i="2" s="1"/>
  <c r="C816" i="2"/>
  <c r="D816" i="2"/>
  <c r="E816" i="2"/>
  <c r="H816" i="2"/>
  <c r="I816" i="2"/>
  <c r="J816" i="2"/>
  <c r="K816" i="2"/>
  <c r="L816" i="2"/>
  <c r="M816" i="2"/>
  <c r="N816" i="2"/>
  <c r="P816" i="2"/>
  <c r="Q816" i="2"/>
  <c r="R816" i="2"/>
  <c r="S816" i="2" s="1"/>
  <c r="C817" i="2"/>
  <c r="D817" i="2"/>
  <c r="E817" i="2"/>
  <c r="F817" i="2" s="1"/>
  <c r="H817" i="2"/>
  <c r="I817" i="2"/>
  <c r="J817" i="2"/>
  <c r="K817" i="2"/>
  <c r="L817" i="2"/>
  <c r="M817" i="2"/>
  <c r="N817" i="2"/>
  <c r="P817" i="2"/>
  <c r="Q817" i="2"/>
  <c r="R817" i="2"/>
  <c r="S817" i="2" s="1"/>
  <c r="C818" i="2"/>
  <c r="D818" i="2"/>
  <c r="E818" i="2"/>
  <c r="H818" i="2"/>
  <c r="I818" i="2"/>
  <c r="J818" i="2"/>
  <c r="K818" i="2"/>
  <c r="L818" i="2"/>
  <c r="M818" i="2" s="1"/>
  <c r="N818" i="2"/>
  <c r="P818" i="2"/>
  <c r="Q818" i="2"/>
  <c r="R818" i="2"/>
  <c r="S818" i="2" s="1"/>
  <c r="C819" i="2"/>
  <c r="D819" i="2"/>
  <c r="E819" i="2"/>
  <c r="H819" i="2"/>
  <c r="I819" i="2"/>
  <c r="J819" i="2"/>
  <c r="K819" i="2"/>
  <c r="L819" i="2"/>
  <c r="M819" i="2" s="1"/>
  <c r="N819" i="2"/>
  <c r="P819" i="2"/>
  <c r="Q819" i="2"/>
  <c r="R819" i="2"/>
  <c r="S819" i="2" s="1"/>
  <c r="C820" i="2"/>
  <c r="D820" i="2"/>
  <c r="E820" i="2"/>
  <c r="H820" i="2"/>
  <c r="I820" i="2"/>
  <c r="J820" i="2"/>
  <c r="K820" i="2"/>
  <c r="L820" i="2"/>
  <c r="M820" i="2"/>
  <c r="N820" i="2"/>
  <c r="P820" i="2"/>
  <c r="Q820" i="2"/>
  <c r="R820" i="2"/>
  <c r="S820" i="2" s="1"/>
  <c r="C821" i="2"/>
  <c r="D821" i="2"/>
  <c r="E821" i="2"/>
  <c r="F821" i="2" s="1"/>
  <c r="H821" i="2"/>
  <c r="I821" i="2"/>
  <c r="J821" i="2"/>
  <c r="K821" i="2"/>
  <c r="L821" i="2"/>
  <c r="M821" i="2"/>
  <c r="N821" i="2"/>
  <c r="P821" i="2"/>
  <c r="Q821" i="2"/>
  <c r="R821" i="2"/>
  <c r="S821" i="2" s="1"/>
  <c r="C822" i="2"/>
  <c r="D822" i="2"/>
  <c r="E822" i="2"/>
  <c r="H822" i="2"/>
  <c r="I822" i="2"/>
  <c r="J822" i="2"/>
  <c r="K822" i="2"/>
  <c r="L822" i="2"/>
  <c r="M822" i="2" s="1"/>
  <c r="N822" i="2"/>
  <c r="P822" i="2"/>
  <c r="Q822" i="2"/>
  <c r="R822" i="2"/>
  <c r="S822" i="2" s="1"/>
  <c r="C823" i="2"/>
  <c r="D823" i="2"/>
  <c r="E823" i="2"/>
  <c r="H823" i="2"/>
  <c r="I823" i="2"/>
  <c r="J823" i="2"/>
  <c r="K823" i="2"/>
  <c r="L823" i="2"/>
  <c r="M823" i="2"/>
  <c r="N823" i="2"/>
  <c r="P823" i="2"/>
  <c r="Q823" i="2"/>
  <c r="R823" i="2"/>
  <c r="S823" i="2" s="1"/>
  <c r="C824" i="2"/>
  <c r="D824" i="2"/>
  <c r="E824" i="2"/>
  <c r="H824" i="2"/>
  <c r="I824" i="2"/>
  <c r="J824" i="2"/>
  <c r="K824" i="2"/>
  <c r="L824" i="2"/>
  <c r="M824" i="2"/>
  <c r="N824" i="2"/>
  <c r="P824" i="2"/>
  <c r="Q824" i="2"/>
  <c r="R824" i="2"/>
  <c r="S824" i="2" s="1"/>
  <c r="C825" i="2"/>
  <c r="D825" i="2"/>
  <c r="E825" i="2"/>
  <c r="F825" i="2" s="1"/>
  <c r="H825" i="2"/>
  <c r="I825" i="2"/>
  <c r="J825" i="2"/>
  <c r="K825" i="2"/>
  <c r="L825" i="2"/>
  <c r="M825" i="2" s="1"/>
  <c r="N825" i="2"/>
  <c r="P825" i="2"/>
  <c r="Q825" i="2"/>
  <c r="R825" i="2"/>
  <c r="S825" i="2" s="1"/>
  <c r="C826" i="2"/>
  <c r="D826" i="2"/>
  <c r="E826" i="2"/>
  <c r="H826" i="2"/>
  <c r="I826" i="2"/>
  <c r="J826" i="2"/>
  <c r="K826" i="2"/>
  <c r="L826" i="2"/>
  <c r="M826" i="2" s="1"/>
  <c r="N826" i="2"/>
  <c r="P826" i="2"/>
  <c r="Q826" i="2"/>
  <c r="R826" i="2"/>
  <c r="S826" i="2" s="1"/>
  <c r="C827" i="2"/>
  <c r="D827" i="2"/>
  <c r="E827" i="2"/>
  <c r="H827" i="2"/>
  <c r="I827" i="2"/>
  <c r="J827" i="2"/>
  <c r="K827" i="2"/>
  <c r="L827" i="2"/>
  <c r="M827" i="2" s="1"/>
  <c r="N827" i="2"/>
  <c r="P827" i="2"/>
  <c r="Q827" i="2"/>
  <c r="R827" i="2"/>
  <c r="S827" i="2" s="1"/>
  <c r="C828" i="2"/>
  <c r="D828" i="2"/>
  <c r="E828" i="2"/>
  <c r="H828" i="2"/>
  <c r="I828" i="2"/>
  <c r="J828" i="2"/>
  <c r="K828" i="2"/>
  <c r="L828" i="2"/>
  <c r="M828" i="2" s="1"/>
  <c r="N828" i="2"/>
  <c r="P828" i="2"/>
  <c r="Q828" i="2"/>
  <c r="R828" i="2"/>
  <c r="S828" i="2" s="1"/>
  <c r="C829" i="2"/>
  <c r="D829" i="2"/>
  <c r="E829" i="2"/>
  <c r="F829" i="2" s="1"/>
  <c r="H829" i="2"/>
  <c r="I829" i="2"/>
  <c r="J829" i="2"/>
  <c r="K829" i="2"/>
  <c r="L829" i="2"/>
  <c r="M829" i="2" s="1"/>
  <c r="N829" i="2"/>
  <c r="P829" i="2"/>
  <c r="Q829" i="2"/>
  <c r="R829" i="2"/>
  <c r="S829" i="2" s="1"/>
  <c r="C830" i="2"/>
  <c r="D830" i="2"/>
  <c r="E830" i="2"/>
  <c r="H830" i="2"/>
  <c r="I830" i="2"/>
  <c r="J830" i="2"/>
  <c r="K830" i="2"/>
  <c r="L830" i="2"/>
  <c r="M830" i="2" s="1"/>
  <c r="N830" i="2"/>
  <c r="P830" i="2"/>
  <c r="Q830" i="2"/>
  <c r="R830" i="2"/>
  <c r="S830" i="2" s="1"/>
  <c r="C831" i="2"/>
  <c r="D831" i="2"/>
  <c r="E831" i="2"/>
  <c r="H831" i="2"/>
  <c r="I831" i="2"/>
  <c r="J831" i="2"/>
  <c r="K831" i="2"/>
  <c r="L831" i="2"/>
  <c r="M831" i="2" s="1"/>
  <c r="N831" i="2"/>
  <c r="P831" i="2"/>
  <c r="Q831" i="2"/>
  <c r="R831" i="2"/>
  <c r="S831" i="2" s="1"/>
  <c r="C832" i="2"/>
  <c r="D832" i="2"/>
  <c r="E832" i="2"/>
  <c r="H832" i="2"/>
  <c r="I832" i="2"/>
  <c r="J832" i="2"/>
  <c r="K832" i="2"/>
  <c r="L832" i="2"/>
  <c r="M832" i="2"/>
  <c r="N832" i="2"/>
  <c r="P832" i="2"/>
  <c r="Q832" i="2"/>
  <c r="R832" i="2"/>
  <c r="S832" i="2" s="1"/>
  <c r="C833" i="2"/>
  <c r="D833" i="2"/>
  <c r="E833" i="2"/>
  <c r="F833" i="2" s="1"/>
  <c r="H833" i="2"/>
  <c r="I833" i="2"/>
  <c r="J833" i="2"/>
  <c r="K833" i="2"/>
  <c r="L833" i="2"/>
  <c r="M833" i="2" s="1"/>
  <c r="N833" i="2"/>
  <c r="P833" i="2"/>
  <c r="Q833" i="2"/>
  <c r="R833" i="2"/>
  <c r="S833" i="2" s="1"/>
  <c r="C834" i="2"/>
  <c r="D834" i="2"/>
  <c r="E834" i="2"/>
  <c r="H834" i="2"/>
  <c r="I834" i="2"/>
  <c r="J834" i="2"/>
  <c r="K834" i="2"/>
  <c r="L834" i="2"/>
  <c r="M834" i="2" s="1"/>
  <c r="N834" i="2"/>
  <c r="P834" i="2"/>
  <c r="Q834" i="2"/>
  <c r="R834" i="2"/>
  <c r="S834" i="2" s="1"/>
  <c r="C835" i="2"/>
  <c r="D835" i="2"/>
  <c r="E835" i="2"/>
  <c r="H835" i="2"/>
  <c r="I835" i="2"/>
  <c r="J835" i="2"/>
  <c r="K835" i="2"/>
  <c r="L835" i="2"/>
  <c r="M835" i="2"/>
  <c r="N835" i="2"/>
  <c r="P835" i="2"/>
  <c r="Q835" i="2"/>
  <c r="R835" i="2"/>
  <c r="S835" i="2" s="1"/>
  <c r="C836" i="2"/>
  <c r="D836" i="2"/>
  <c r="E836" i="2"/>
  <c r="H836" i="2"/>
  <c r="I836" i="2"/>
  <c r="J836" i="2"/>
  <c r="K836" i="2"/>
  <c r="L836" i="2"/>
  <c r="M836" i="2"/>
  <c r="N836" i="2"/>
  <c r="P836" i="2"/>
  <c r="Q836" i="2"/>
  <c r="R836" i="2"/>
  <c r="S836" i="2" s="1"/>
  <c r="C837" i="2"/>
  <c r="D837" i="2"/>
  <c r="E837" i="2"/>
  <c r="F837" i="2" s="1"/>
  <c r="H837" i="2"/>
  <c r="I837" i="2"/>
  <c r="J837" i="2"/>
  <c r="K837" i="2"/>
  <c r="L837" i="2"/>
  <c r="M837" i="2" s="1"/>
  <c r="N837" i="2"/>
  <c r="P837" i="2"/>
  <c r="Q837" i="2"/>
  <c r="R837" i="2"/>
  <c r="S837" i="2" s="1"/>
  <c r="C838" i="2"/>
  <c r="D838" i="2"/>
  <c r="E838" i="2"/>
  <c r="H838" i="2"/>
  <c r="I838" i="2"/>
  <c r="J838" i="2"/>
  <c r="K838" i="2"/>
  <c r="L838" i="2"/>
  <c r="M838" i="2" s="1"/>
  <c r="N838" i="2"/>
  <c r="P838" i="2"/>
  <c r="Q838" i="2"/>
  <c r="R838" i="2"/>
  <c r="S838" i="2" s="1"/>
  <c r="C839" i="2"/>
  <c r="D839" i="2"/>
  <c r="E839" i="2"/>
  <c r="H839" i="2"/>
  <c r="I839" i="2"/>
  <c r="J839" i="2"/>
  <c r="K839" i="2"/>
  <c r="L839" i="2"/>
  <c r="M839" i="2"/>
  <c r="N839" i="2"/>
  <c r="P839" i="2"/>
  <c r="Q839" i="2"/>
  <c r="R839" i="2"/>
  <c r="S839" i="2" s="1"/>
  <c r="C840" i="2"/>
  <c r="D840" i="2"/>
  <c r="E840" i="2"/>
  <c r="H840" i="2"/>
  <c r="I840" i="2"/>
  <c r="J840" i="2"/>
  <c r="K840" i="2"/>
  <c r="L840" i="2"/>
  <c r="M840" i="2"/>
  <c r="N840" i="2"/>
  <c r="P840" i="2"/>
  <c r="Q840" i="2"/>
  <c r="R840" i="2"/>
  <c r="S840" i="2" s="1"/>
  <c r="C841" i="2"/>
  <c r="D841" i="2"/>
  <c r="E841" i="2"/>
  <c r="F841" i="2" s="1"/>
  <c r="H841" i="2"/>
  <c r="I841" i="2"/>
  <c r="J841" i="2"/>
  <c r="K841" i="2"/>
  <c r="L841" i="2"/>
  <c r="M841" i="2" s="1"/>
  <c r="N841" i="2"/>
  <c r="P841" i="2"/>
  <c r="Q841" i="2"/>
  <c r="R841" i="2"/>
  <c r="S841" i="2" s="1"/>
  <c r="C842" i="2"/>
  <c r="D842" i="2"/>
  <c r="E842" i="2"/>
  <c r="H842" i="2"/>
  <c r="I842" i="2"/>
  <c r="J842" i="2"/>
  <c r="K842" i="2"/>
  <c r="L842" i="2"/>
  <c r="M842" i="2" s="1"/>
  <c r="N842" i="2"/>
  <c r="P842" i="2"/>
  <c r="Q842" i="2"/>
  <c r="R842" i="2"/>
  <c r="S842" i="2" s="1"/>
  <c r="C843" i="2"/>
  <c r="D843" i="2"/>
  <c r="E843" i="2"/>
  <c r="H843" i="2"/>
  <c r="I843" i="2"/>
  <c r="J843" i="2"/>
  <c r="K843" i="2"/>
  <c r="L843" i="2"/>
  <c r="M843" i="2"/>
  <c r="N843" i="2"/>
  <c r="P843" i="2"/>
  <c r="Q843" i="2"/>
  <c r="R843" i="2"/>
  <c r="S843" i="2"/>
  <c r="C844" i="2"/>
  <c r="D844" i="2"/>
  <c r="E844" i="2"/>
  <c r="H844" i="2"/>
  <c r="I844" i="2"/>
  <c r="J844" i="2"/>
  <c r="K844" i="2"/>
  <c r="L844" i="2"/>
  <c r="M844" i="2" s="1"/>
  <c r="N844" i="2"/>
  <c r="P844" i="2"/>
  <c r="Q844" i="2"/>
  <c r="R844" i="2"/>
  <c r="S844" i="2" s="1"/>
  <c r="C845" i="2"/>
  <c r="D845" i="2"/>
  <c r="E845" i="2"/>
  <c r="F845" i="2" s="1"/>
  <c r="H845" i="2"/>
  <c r="I845" i="2"/>
  <c r="J845" i="2"/>
  <c r="K845" i="2"/>
  <c r="L845" i="2"/>
  <c r="M845" i="2" s="1"/>
  <c r="N845" i="2"/>
  <c r="P845" i="2"/>
  <c r="Q845" i="2"/>
  <c r="R845" i="2"/>
  <c r="S845" i="2"/>
  <c r="C846" i="2"/>
  <c r="D846" i="2"/>
  <c r="E846" i="2"/>
  <c r="F846" i="2"/>
  <c r="G846" i="2"/>
  <c r="O846" i="2" s="1"/>
  <c r="H846" i="2"/>
  <c r="I846" i="2"/>
  <c r="J846" i="2"/>
  <c r="K846" i="2"/>
  <c r="L846" i="2"/>
  <c r="M846" i="2" s="1"/>
  <c r="N846" i="2"/>
  <c r="P846" i="2"/>
  <c r="Q846" i="2"/>
  <c r="R846" i="2"/>
  <c r="S846" i="2" s="1"/>
  <c r="C847" i="2"/>
  <c r="D847" i="2"/>
  <c r="E847" i="2"/>
  <c r="H847" i="2"/>
  <c r="I847" i="2"/>
  <c r="J847" i="2"/>
  <c r="K847" i="2"/>
  <c r="L847" i="2"/>
  <c r="M847" i="2" s="1"/>
  <c r="N847" i="2"/>
  <c r="P847" i="2"/>
  <c r="Q847" i="2"/>
  <c r="R847" i="2"/>
  <c r="S847" i="2"/>
  <c r="C848" i="2"/>
  <c r="D848" i="2"/>
  <c r="E848" i="2"/>
  <c r="G848" i="2" s="1"/>
  <c r="F848" i="2"/>
  <c r="H848" i="2"/>
  <c r="I848" i="2"/>
  <c r="J848" i="2"/>
  <c r="K848" i="2"/>
  <c r="L848" i="2"/>
  <c r="M848" i="2"/>
  <c r="N848" i="2"/>
  <c r="P848" i="2"/>
  <c r="Q848" i="2"/>
  <c r="R848" i="2"/>
  <c r="S848" i="2" s="1"/>
  <c r="C849" i="2"/>
  <c r="D849" i="2"/>
  <c r="E849" i="2"/>
  <c r="F849" i="2" s="1"/>
  <c r="H849" i="2"/>
  <c r="I849" i="2"/>
  <c r="J849" i="2"/>
  <c r="K849" i="2"/>
  <c r="L849" i="2"/>
  <c r="M849" i="2" s="1"/>
  <c r="N849" i="2"/>
  <c r="P849" i="2"/>
  <c r="Q849" i="2"/>
  <c r="R849" i="2"/>
  <c r="S849" i="2"/>
  <c r="C850" i="2"/>
  <c r="D850" i="2"/>
  <c r="E850" i="2"/>
  <c r="G850" i="2" s="1"/>
  <c r="O850" i="2" s="1"/>
  <c r="F850" i="2"/>
  <c r="H850" i="2"/>
  <c r="I850" i="2"/>
  <c r="J850" i="2"/>
  <c r="K850" i="2"/>
  <c r="L850" i="2"/>
  <c r="M850" i="2" s="1"/>
  <c r="N850" i="2"/>
  <c r="P850" i="2"/>
  <c r="Q850" i="2"/>
  <c r="R850" i="2"/>
  <c r="S850" i="2"/>
  <c r="C851" i="2"/>
  <c r="D851" i="2"/>
  <c r="E851" i="2"/>
  <c r="F851" i="2"/>
  <c r="G851" i="2"/>
  <c r="O851" i="2" s="1"/>
  <c r="H851" i="2"/>
  <c r="I851" i="2"/>
  <c r="J851" i="2"/>
  <c r="K851" i="2"/>
  <c r="L851" i="2"/>
  <c r="M851" i="2" s="1"/>
  <c r="N851" i="2"/>
  <c r="P851" i="2"/>
  <c r="Q851" i="2"/>
  <c r="R851" i="2"/>
  <c r="S851" i="2" s="1"/>
  <c r="C852" i="2"/>
  <c r="D852" i="2"/>
  <c r="E852" i="2"/>
  <c r="H852" i="2"/>
  <c r="I852" i="2"/>
  <c r="J852" i="2"/>
  <c r="K852" i="2"/>
  <c r="L852" i="2"/>
  <c r="M852" i="2" s="1"/>
  <c r="N852" i="2"/>
  <c r="P852" i="2"/>
  <c r="Q852" i="2"/>
  <c r="R852" i="2"/>
  <c r="S852" i="2" s="1"/>
  <c r="C853" i="2"/>
  <c r="D853" i="2"/>
  <c r="E853" i="2"/>
  <c r="F853" i="2" s="1"/>
  <c r="H853" i="2"/>
  <c r="I853" i="2"/>
  <c r="J853" i="2"/>
  <c r="K853" i="2"/>
  <c r="L853" i="2"/>
  <c r="M853" i="2" s="1"/>
  <c r="N853" i="2"/>
  <c r="P853" i="2"/>
  <c r="Q853" i="2"/>
  <c r="R853" i="2"/>
  <c r="S853" i="2"/>
  <c r="C854" i="2"/>
  <c r="D854" i="2"/>
  <c r="E854" i="2"/>
  <c r="F854" i="2"/>
  <c r="G854" i="2"/>
  <c r="H854" i="2"/>
  <c r="I854" i="2"/>
  <c r="J854" i="2"/>
  <c r="K854" i="2"/>
  <c r="L854" i="2"/>
  <c r="M854" i="2" s="1"/>
  <c r="N854" i="2"/>
  <c r="P854" i="2"/>
  <c r="Q854" i="2"/>
  <c r="R854" i="2"/>
  <c r="S854" i="2"/>
  <c r="C855" i="2"/>
  <c r="D855" i="2"/>
  <c r="E855" i="2"/>
  <c r="G855" i="2" s="1"/>
  <c r="O855" i="2" s="1"/>
  <c r="H855" i="2"/>
  <c r="I855" i="2"/>
  <c r="J855" i="2"/>
  <c r="K855" i="2"/>
  <c r="L855" i="2"/>
  <c r="M855" i="2" s="1"/>
  <c r="N855" i="2"/>
  <c r="P855" i="2"/>
  <c r="Q855" i="2"/>
  <c r="R855" i="2"/>
  <c r="S855" i="2"/>
  <c r="C856" i="2"/>
  <c r="D856" i="2"/>
  <c r="E856" i="2"/>
  <c r="G856" i="2" s="1"/>
  <c r="F856" i="2"/>
  <c r="H856" i="2"/>
  <c r="I856" i="2"/>
  <c r="J856" i="2"/>
  <c r="K856" i="2"/>
  <c r="L856" i="2"/>
  <c r="M856" i="2"/>
  <c r="N856" i="2"/>
  <c r="P856" i="2"/>
  <c r="Q856" i="2"/>
  <c r="R856" i="2"/>
  <c r="S856" i="2" s="1"/>
  <c r="C857" i="2"/>
  <c r="D857" i="2"/>
  <c r="E857" i="2"/>
  <c r="F857" i="2" s="1"/>
  <c r="H857" i="2"/>
  <c r="I857" i="2"/>
  <c r="J857" i="2"/>
  <c r="K857" i="2"/>
  <c r="L857" i="2"/>
  <c r="M857" i="2" s="1"/>
  <c r="N857" i="2"/>
  <c r="P857" i="2"/>
  <c r="Q857" i="2"/>
  <c r="R857" i="2"/>
  <c r="S857" i="2" s="1"/>
  <c r="C858" i="2"/>
  <c r="D858" i="2"/>
  <c r="E858" i="2"/>
  <c r="F858" i="2" s="1"/>
  <c r="G858" i="2"/>
  <c r="O858" i="2" s="1"/>
  <c r="H858" i="2"/>
  <c r="I858" i="2"/>
  <c r="J858" i="2"/>
  <c r="K858" i="2"/>
  <c r="L858" i="2"/>
  <c r="M858" i="2" s="1"/>
  <c r="N858" i="2"/>
  <c r="P858" i="2"/>
  <c r="Q858" i="2"/>
  <c r="R858" i="2"/>
  <c r="S858" i="2" s="1"/>
  <c r="C859" i="2"/>
  <c r="D859" i="2"/>
  <c r="E859" i="2"/>
  <c r="H859" i="2"/>
  <c r="I859" i="2"/>
  <c r="J859" i="2"/>
  <c r="K859" i="2"/>
  <c r="L859" i="2"/>
  <c r="M859" i="2" s="1"/>
  <c r="N859" i="2"/>
  <c r="P859" i="2"/>
  <c r="Q859" i="2"/>
  <c r="R859" i="2"/>
  <c r="S859" i="2" s="1"/>
  <c r="C860" i="2"/>
  <c r="D860" i="2"/>
  <c r="E860" i="2"/>
  <c r="G860" i="2" s="1"/>
  <c r="H860" i="2"/>
  <c r="I860" i="2"/>
  <c r="J860" i="2"/>
  <c r="K860" i="2"/>
  <c r="L860" i="2"/>
  <c r="M860" i="2"/>
  <c r="N860" i="2"/>
  <c r="P860" i="2"/>
  <c r="Q860" i="2"/>
  <c r="R860" i="2"/>
  <c r="S860" i="2" s="1"/>
  <c r="C861" i="2"/>
  <c r="D861" i="2"/>
  <c r="E861" i="2"/>
  <c r="F861" i="2" s="1"/>
  <c r="H861" i="2"/>
  <c r="I861" i="2"/>
  <c r="J861" i="2"/>
  <c r="K861" i="2"/>
  <c r="L861" i="2"/>
  <c r="M861" i="2" s="1"/>
  <c r="N861" i="2"/>
  <c r="P861" i="2"/>
  <c r="Q861" i="2"/>
  <c r="R861" i="2"/>
  <c r="S861" i="2" s="1"/>
  <c r="C862" i="2"/>
  <c r="D862" i="2"/>
  <c r="E862" i="2"/>
  <c r="F862" i="2" s="1"/>
  <c r="G862" i="2"/>
  <c r="O862" i="2" s="1"/>
  <c r="H862" i="2"/>
  <c r="I862" i="2"/>
  <c r="J862" i="2"/>
  <c r="K862" i="2"/>
  <c r="L862" i="2"/>
  <c r="M862" i="2" s="1"/>
  <c r="N862" i="2"/>
  <c r="P862" i="2"/>
  <c r="Q862" i="2"/>
  <c r="R862" i="2"/>
  <c r="S862" i="2" s="1"/>
  <c r="C863" i="2"/>
  <c r="D863" i="2"/>
  <c r="E863" i="2"/>
  <c r="F863" i="2" s="1"/>
  <c r="G863" i="2"/>
  <c r="O863" i="2" s="1"/>
  <c r="H863" i="2"/>
  <c r="I863" i="2"/>
  <c r="J863" i="2"/>
  <c r="K863" i="2"/>
  <c r="L863" i="2"/>
  <c r="M863" i="2" s="1"/>
  <c r="N863" i="2"/>
  <c r="P863" i="2"/>
  <c r="Q863" i="2"/>
  <c r="R863" i="2"/>
  <c r="S863" i="2" s="1"/>
  <c r="C864" i="2"/>
  <c r="D864" i="2"/>
  <c r="E864" i="2"/>
  <c r="G864" i="2" s="1"/>
  <c r="H864" i="2"/>
  <c r="I864" i="2"/>
  <c r="J864" i="2"/>
  <c r="K864" i="2"/>
  <c r="L864" i="2"/>
  <c r="M864" i="2"/>
  <c r="N864" i="2"/>
  <c r="P864" i="2"/>
  <c r="Q864" i="2"/>
  <c r="R864" i="2"/>
  <c r="S864" i="2" s="1"/>
  <c r="C865" i="2"/>
  <c r="D865" i="2"/>
  <c r="E865" i="2"/>
  <c r="F865" i="2" s="1"/>
  <c r="H865" i="2"/>
  <c r="I865" i="2"/>
  <c r="J865" i="2"/>
  <c r="K865" i="2"/>
  <c r="L865" i="2"/>
  <c r="M865" i="2" s="1"/>
  <c r="N865" i="2"/>
  <c r="P865" i="2"/>
  <c r="Q865" i="2"/>
  <c r="R865" i="2"/>
  <c r="S865" i="2" s="1"/>
  <c r="C866" i="2"/>
  <c r="D866" i="2"/>
  <c r="E866" i="2"/>
  <c r="F866" i="2" s="1"/>
  <c r="G866" i="2"/>
  <c r="H866" i="2"/>
  <c r="I866" i="2"/>
  <c r="J866" i="2"/>
  <c r="K866" i="2"/>
  <c r="L866" i="2"/>
  <c r="M866" i="2" s="1"/>
  <c r="N866" i="2"/>
  <c r="P866" i="2"/>
  <c r="Q866" i="2"/>
  <c r="R866" i="2"/>
  <c r="S866" i="2" s="1"/>
  <c r="C867" i="2"/>
  <c r="D867" i="2"/>
  <c r="E867" i="2"/>
  <c r="F867" i="2" s="1"/>
  <c r="G867" i="2"/>
  <c r="O867" i="2" s="1"/>
  <c r="H867" i="2"/>
  <c r="I867" i="2"/>
  <c r="J867" i="2"/>
  <c r="K867" i="2"/>
  <c r="L867" i="2"/>
  <c r="M867" i="2" s="1"/>
  <c r="N867" i="2"/>
  <c r="P867" i="2"/>
  <c r="Q867" i="2"/>
  <c r="R867" i="2"/>
  <c r="S867" i="2" s="1"/>
  <c r="C868" i="2"/>
  <c r="D868" i="2"/>
  <c r="E868" i="2"/>
  <c r="G868" i="2" s="1"/>
  <c r="H868" i="2"/>
  <c r="I868" i="2"/>
  <c r="J868" i="2"/>
  <c r="K868" i="2"/>
  <c r="L868" i="2"/>
  <c r="M868" i="2" s="1"/>
  <c r="N868" i="2"/>
  <c r="P868" i="2"/>
  <c r="Q868" i="2"/>
  <c r="R868" i="2"/>
  <c r="S868" i="2" s="1"/>
  <c r="C869" i="2"/>
  <c r="D869" i="2"/>
  <c r="E869" i="2"/>
  <c r="F869" i="2" s="1"/>
  <c r="H869" i="2"/>
  <c r="I869" i="2"/>
  <c r="J869" i="2"/>
  <c r="K869" i="2"/>
  <c r="L869" i="2"/>
  <c r="M869" i="2" s="1"/>
  <c r="N869" i="2"/>
  <c r="P869" i="2"/>
  <c r="Q869" i="2"/>
  <c r="R869" i="2"/>
  <c r="S869" i="2" s="1"/>
  <c r="C870" i="2"/>
  <c r="D870" i="2"/>
  <c r="E870" i="2"/>
  <c r="H870" i="2"/>
  <c r="I870" i="2"/>
  <c r="J870" i="2"/>
  <c r="K870" i="2"/>
  <c r="L870" i="2"/>
  <c r="M870" i="2" s="1"/>
  <c r="N870" i="2"/>
  <c r="P870" i="2"/>
  <c r="Q870" i="2"/>
  <c r="R870" i="2"/>
  <c r="S870" i="2" s="1"/>
  <c r="C871" i="2"/>
  <c r="D871" i="2"/>
  <c r="E871" i="2"/>
  <c r="F871" i="2" s="1"/>
  <c r="H871" i="2"/>
  <c r="I871" i="2"/>
  <c r="J871" i="2"/>
  <c r="K871" i="2"/>
  <c r="L871" i="2"/>
  <c r="M871" i="2" s="1"/>
  <c r="N871" i="2"/>
  <c r="P871" i="2"/>
  <c r="Q871" i="2"/>
  <c r="R871" i="2"/>
  <c r="S871" i="2" s="1"/>
  <c r="C872" i="2"/>
  <c r="D872" i="2"/>
  <c r="E872" i="2"/>
  <c r="G872" i="2" s="1"/>
  <c r="H872" i="2"/>
  <c r="I872" i="2"/>
  <c r="J872" i="2"/>
  <c r="K872" i="2"/>
  <c r="L872" i="2"/>
  <c r="M872" i="2"/>
  <c r="N872" i="2"/>
  <c r="P872" i="2"/>
  <c r="Q872" i="2"/>
  <c r="R872" i="2"/>
  <c r="S872" i="2" s="1"/>
  <c r="C873" i="2"/>
  <c r="D873" i="2"/>
  <c r="E873" i="2"/>
  <c r="F873" i="2" s="1"/>
  <c r="H873" i="2"/>
  <c r="I873" i="2"/>
  <c r="J873" i="2"/>
  <c r="K873" i="2"/>
  <c r="L873" i="2"/>
  <c r="M873" i="2" s="1"/>
  <c r="N873" i="2"/>
  <c r="P873" i="2"/>
  <c r="Q873" i="2"/>
  <c r="R873" i="2"/>
  <c r="S873" i="2" s="1"/>
  <c r="C874" i="2"/>
  <c r="D874" i="2"/>
  <c r="E874" i="2"/>
  <c r="F874" i="2" s="1"/>
  <c r="G874" i="2"/>
  <c r="O874" i="2" s="1"/>
  <c r="H874" i="2"/>
  <c r="I874" i="2"/>
  <c r="J874" i="2"/>
  <c r="K874" i="2"/>
  <c r="L874" i="2"/>
  <c r="M874" i="2" s="1"/>
  <c r="N874" i="2"/>
  <c r="P874" i="2"/>
  <c r="Q874" i="2"/>
  <c r="R874" i="2"/>
  <c r="S874" i="2" s="1"/>
  <c r="C875" i="2"/>
  <c r="D875" i="2"/>
  <c r="E875" i="2"/>
  <c r="F875" i="2" s="1"/>
  <c r="H875" i="2"/>
  <c r="I875" i="2"/>
  <c r="J875" i="2"/>
  <c r="K875" i="2"/>
  <c r="L875" i="2"/>
  <c r="M875" i="2" s="1"/>
  <c r="N875" i="2"/>
  <c r="P875" i="2"/>
  <c r="Q875" i="2"/>
  <c r="R875" i="2"/>
  <c r="S875" i="2" s="1"/>
  <c r="C876" i="2"/>
  <c r="D876" i="2"/>
  <c r="E876" i="2"/>
  <c r="G876" i="2" s="1"/>
  <c r="H876" i="2"/>
  <c r="I876" i="2"/>
  <c r="J876" i="2"/>
  <c r="K876" i="2"/>
  <c r="L876" i="2"/>
  <c r="M876" i="2"/>
  <c r="N876" i="2"/>
  <c r="P876" i="2"/>
  <c r="Q876" i="2"/>
  <c r="R876" i="2"/>
  <c r="S876" i="2" s="1"/>
  <c r="C877" i="2"/>
  <c r="D877" i="2"/>
  <c r="E877" i="2"/>
  <c r="F877" i="2" s="1"/>
  <c r="H877" i="2"/>
  <c r="I877" i="2"/>
  <c r="J877" i="2"/>
  <c r="K877" i="2"/>
  <c r="L877" i="2"/>
  <c r="M877" i="2" s="1"/>
  <c r="N877" i="2"/>
  <c r="P877" i="2"/>
  <c r="Q877" i="2"/>
  <c r="R877" i="2"/>
  <c r="S877" i="2" s="1"/>
  <c r="C878" i="2"/>
  <c r="D878" i="2"/>
  <c r="E878" i="2"/>
  <c r="F878" i="2" s="1"/>
  <c r="H878" i="2"/>
  <c r="I878" i="2"/>
  <c r="J878" i="2"/>
  <c r="K878" i="2"/>
  <c r="L878" i="2"/>
  <c r="M878" i="2" s="1"/>
  <c r="N878" i="2"/>
  <c r="P878" i="2"/>
  <c r="Q878" i="2"/>
  <c r="R878" i="2"/>
  <c r="S878" i="2" s="1"/>
  <c r="C879" i="2"/>
  <c r="D879" i="2"/>
  <c r="E879" i="2"/>
  <c r="F879" i="2" s="1"/>
  <c r="G879" i="2"/>
  <c r="O879" i="2" s="1"/>
  <c r="H879" i="2"/>
  <c r="I879" i="2"/>
  <c r="J879" i="2"/>
  <c r="K879" i="2"/>
  <c r="L879" i="2"/>
  <c r="M879" i="2" s="1"/>
  <c r="N879" i="2"/>
  <c r="P879" i="2"/>
  <c r="Q879" i="2"/>
  <c r="R879" i="2"/>
  <c r="S879" i="2" s="1"/>
  <c r="C880" i="2"/>
  <c r="D880" i="2"/>
  <c r="E880" i="2"/>
  <c r="G880" i="2" s="1"/>
  <c r="H880" i="2"/>
  <c r="I880" i="2"/>
  <c r="J880" i="2"/>
  <c r="K880" i="2"/>
  <c r="L880" i="2"/>
  <c r="M880" i="2" s="1"/>
  <c r="N880" i="2"/>
  <c r="P880" i="2"/>
  <c r="Q880" i="2"/>
  <c r="R880" i="2"/>
  <c r="S880" i="2" s="1"/>
  <c r="C881" i="2"/>
  <c r="D881" i="2"/>
  <c r="E881" i="2"/>
  <c r="F881" i="2" s="1"/>
  <c r="H881" i="2"/>
  <c r="I881" i="2"/>
  <c r="J881" i="2"/>
  <c r="K881" i="2"/>
  <c r="L881" i="2"/>
  <c r="M881" i="2" s="1"/>
  <c r="N881" i="2"/>
  <c r="P881" i="2"/>
  <c r="Q881" i="2"/>
  <c r="R881" i="2"/>
  <c r="S881" i="2" s="1"/>
  <c r="C882" i="2"/>
  <c r="D882" i="2"/>
  <c r="E882" i="2"/>
  <c r="H882" i="2"/>
  <c r="I882" i="2"/>
  <c r="J882" i="2"/>
  <c r="K882" i="2"/>
  <c r="L882" i="2"/>
  <c r="M882" i="2" s="1"/>
  <c r="N882" i="2"/>
  <c r="P882" i="2"/>
  <c r="Q882" i="2"/>
  <c r="R882" i="2"/>
  <c r="S882" i="2" s="1"/>
  <c r="C883" i="2"/>
  <c r="D883" i="2"/>
  <c r="E883" i="2"/>
  <c r="F883" i="2" s="1"/>
  <c r="G883" i="2"/>
  <c r="O883" i="2" s="1"/>
  <c r="H883" i="2"/>
  <c r="I883" i="2"/>
  <c r="J883" i="2"/>
  <c r="K883" i="2"/>
  <c r="L883" i="2"/>
  <c r="M883" i="2" s="1"/>
  <c r="N883" i="2"/>
  <c r="P883" i="2"/>
  <c r="Q883" i="2"/>
  <c r="R883" i="2"/>
  <c r="S883" i="2" s="1"/>
  <c r="C884" i="2"/>
  <c r="D884" i="2"/>
  <c r="E884" i="2"/>
  <c r="G884" i="2" s="1"/>
  <c r="H884" i="2"/>
  <c r="I884" i="2"/>
  <c r="J884" i="2"/>
  <c r="K884" i="2"/>
  <c r="L884" i="2"/>
  <c r="M884" i="2" s="1"/>
  <c r="N884" i="2"/>
  <c r="P884" i="2"/>
  <c r="Q884" i="2"/>
  <c r="R884" i="2"/>
  <c r="S884" i="2" s="1"/>
  <c r="C885" i="2"/>
  <c r="D885" i="2"/>
  <c r="E885" i="2"/>
  <c r="F885" i="2" s="1"/>
  <c r="H885" i="2"/>
  <c r="I885" i="2"/>
  <c r="J885" i="2"/>
  <c r="K885" i="2"/>
  <c r="L885" i="2"/>
  <c r="M885" i="2" s="1"/>
  <c r="N885" i="2"/>
  <c r="P885" i="2"/>
  <c r="Q885" i="2"/>
  <c r="R885" i="2"/>
  <c r="S885" i="2" s="1"/>
  <c r="C886" i="2"/>
  <c r="D886" i="2"/>
  <c r="E886" i="2"/>
  <c r="F886" i="2" s="1"/>
  <c r="G886" i="2"/>
  <c r="O886" i="2" s="1"/>
  <c r="H886" i="2"/>
  <c r="I886" i="2"/>
  <c r="J886" i="2"/>
  <c r="K886" i="2"/>
  <c r="L886" i="2"/>
  <c r="M886" i="2" s="1"/>
  <c r="N886" i="2"/>
  <c r="P886" i="2"/>
  <c r="Q886" i="2"/>
  <c r="R886" i="2"/>
  <c r="S886" i="2" s="1"/>
  <c r="C887" i="2"/>
  <c r="D887" i="2"/>
  <c r="E887" i="2"/>
  <c r="H887" i="2"/>
  <c r="I887" i="2"/>
  <c r="J887" i="2"/>
  <c r="K887" i="2"/>
  <c r="L887" i="2"/>
  <c r="M887" i="2" s="1"/>
  <c r="N887" i="2"/>
  <c r="P887" i="2"/>
  <c r="Q887" i="2"/>
  <c r="R887" i="2"/>
  <c r="S887" i="2" s="1"/>
  <c r="C888" i="2"/>
  <c r="D888" i="2"/>
  <c r="E888" i="2"/>
  <c r="G888" i="2" s="1"/>
  <c r="H888" i="2"/>
  <c r="I888" i="2"/>
  <c r="J888" i="2"/>
  <c r="K888" i="2"/>
  <c r="L888" i="2"/>
  <c r="M888" i="2" s="1"/>
  <c r="N888" i="2"/>
  <c r="P888" i="2"/>
  <c r="Q888" i="2"/>
  <c r="R888" i="2"/>
  <c r="S888" i="2" s="1"/>
  <c r="C889" i="2"/>
  <c r="D889" i="2"/>
  <c r="E889" i="2"/>
  <c r="F889" i="2" s="1"/>
  <c r="H889" i="2"/>
  <c r="I889" i="2"/>
  <c r="J889" i="2"/>
  <c r="K889" i="2"/>
  <c r="L889" i="2"/>
  <c r="M889" i="2" s="1"/>
  <c r="N889" i="2"/>
  <c r="P889" i="2"/>
  <c r="Q889" i="2"/>
  <c r="R889" i="2"/>
  <c r="S889" i="2" s="1"/>
  <c r="C890" i="2"/>
  <c r="D890" i="2"/>
  <c r="E890" i="2"/>
  <c r="F890" i="2" s="1"/>
  <c r="G890" i="2"/>
  <c r="H890" i="2"/>
  <c r="I890" i="2"/>
  <c r="J890" i="2"/>
  <c r="K890" i="2"/>
  <c r="L890" i="2"/>
  <c r="M890" i="2" s="1"/>
  <c r="N890" i="2"/>
  <c r="P890" i="2"/>
  <c r="Q890" i="2"/>
  <c r="R890" i="2"/>
  <c r="S890" i="2" s="1"/>
  <c r="C891" i="2"/>
  <c r="D891" i="2"/>
  <c r="E891" i="2"/>
  <c r="F891" i="2" s="1"/>
  <c r="G891" i="2"/>
  <c r="O891" i="2" s="1"/>
  <c r="H891" i="2"/>
  <c r="I891" i="2"/>
  <c r="J891" i="2"/>
  <c r="K891" i="2"/>
  <c r="L891" i="2"/>
  <c r="M891" i="2" s="1"/>
  <c r="N891" i="2"/>
  <c r="P891" i="2"/>
  <c r="Q891" i="2"/>
  <c r="R891" i="2"/>
  <c r="S891" i="2"/>
  <c r="C892" i="2"/>
  <c r="D892" i="2"/>
  <c r="E892" i="2"/>
  <c r="G892" i="2" s="1"/>
  <c r="H892" i="2"/>
  <c r="I892" i="2"/>
  <c r="J892" i="2"/>
  <c r="K892" i="2"/>
  <c r="L892" i="2"/>
  <c r="M892" i="2" s="1"/>
  <c r="N892" i="2"/>
  <c r="P892" i="2"/>
  <c r="Q892" i="2"/>
  <c r="R892" i="2"/>
  <c r="S892" i="2" s="1"/>
  <c r="C893" i="2"/>
  <c r="D893" i="2"/>
  <c r="E893" i="2"/>
  <c r="F893" i="2" s="1"/>
  <c r="H893" i="2"/>
  <c r="I893" i="2"/>
  <c r="J893" i="2"/>
  <c r="K893" i="2"/>
  <c r="L893" i="2"/>
  <c r="M893" i="2" s="1"/>
  <c r="N893" i="2"/>
  <c r="P893" i="2"/>
  <c r="Q893" i="2"/>
  <c r="R893" i="2"/>
  <c r="S893" i="2" s="1"/>
  <c r="C894" i="2"/>
  <c r="D894" i="2"/>
  <c r="E894" i="2"/>
  <c r="G894" i="2" s="1"/>
  <c r="F894" i="2"/>
  <c r="H894" i="2"/>
  <c r="I894" i="2"/>
  <c r="J894" i="2"/>
  <c r="K894" i="2"/>
  <c r="L894" i="2"/>
  <c r="M894" i="2" s="1"/>
  <c r="N894" i="2"/>
  <c r="P894" i="2"/>
  <c r="Q894" i="2"/>
  <c r="R894" i="2"/>
  <c r="S894" i="2"/>
  <c r="C895" i="2"/>
  <c r="D895" i="2"/>
  <c r="E895" i="2"/>
  <c r="G895" i="2" s="1"/>
  <c r="O895" i="2" s="1"/>
  <c r="H895" i="2"/>
  <c r="I895" i="2"/>
  <c r="J895" i="2"/>
  <c r="K895" i="2"/>
  <c r="L895" i="2"/>
  <c r="M895" i="2" s="1"/>
  <c r="N895" i="2"/>
  <c r="P895" i="2"/>
  <c r="Q895" i="2"/>
  <c r="R895" i="2"/>
  <c r="S895" i="2"/>
  <c r="C896" i="2"/>
  <c r="D896" i="2"/>
  <c r="E896" i="2"/>
  <c r="G896" i="2" s="1"/>
  <c r="F896" i="2"/>
  <c r="H896" i="2"/>
  <c r="I896" i="2"/>
  <c r="J896" i="2"/>
  <c r="K896" i="2"/>
  <c r="L896" i="2"/>
  <c r="M896" i="2" s="1"/>
  <c r="N896" i="2"/>
  <c r="P896" i="2"/>
  <c r="Q896" i="2"/>
  <c r="R896" i="2"/>
  <c r="S896" i="2" s="1"/>
  <c r="C897" i="2"/>
  <c r="D897" i="2"/>
  <c r="E897" i="2"/>
  <c r="F897" i="2" s="1"/>
  <c r="H897" i="2"/>
  <c r="I897" i="2"/>
  <c r="J897" i="2"/>
  <c r="K897" i="2"/>
  <c r="L897" i="2"/>
  <c r="M897" i="2" s="1"/>
  <c r="N897" i="2"/>
  <c r="P897" i="2"/>
  <c r="Q897" i="2"/>
  <c r="R897" i="2"/>
  <c r="S897" i="2" s="1"/>
  <c r="C898" i="2"/>
  <c r="D898" i="2"/>
  <c r="E898" i="2"/>
  <c r="G898" i="2" s="1"/>
  <c r="F898" i="2"/>
  <c r="H898" i="2"/>
  <c r="I898" i="2"/>
  <c r="J898" i="2"/>
  <c r="K898" i="2"/>
  <c r="L898" i="2"/>
  <c r="M898" i="2" s="1"/>
  <c r="N898" i="2"/>
  <c r="P898" i="2"/>
  <c r="Q898" i="2"/>
  <c r="R898" i="2"/>
  <c r="S898" i="2" s="1"/>
  <c r="C899" i="2"/>
  <c r="D899" i="2"/>
  <c r="E899" i="2"/>
  <c r="F899" i="2" s="1"/>
  <c r="H899" i="2"/>
  <c r="I899" i="2"/>
  <c r="J899" i="2"/>
  <c r="K899" i="2"/>
  <c r="L899" i="2"/>
  <c r="M899" i="2" s="1"/>
  <c r="N899" i="2"/>
  <c r="P899" i="2"/>
  <c r="Q899" i="2"/>
  <c r="R899" i="2"/>
  <c r="S899" i="2" s="1"/>
  <c r="C900" i="2"/>
  <c r="D900" i="2"/>
  <c r="E900" i="2"/>
  <c r="G900" i="2" s="1"/>
  <c r="H900" i="2"/>
  <c r="I900" i="2"/>
  <c r="J900" i="2"/>
  <c r="K900" i="2"/>
  <c r="L900" i="2"/>
  <c r="M900" i="2" s="1"/>
  <c r="N900" i="2"/>
  <c r="P900" i="2"/>
  <c r="Q900" i="2"/>
  <c r="R900" i="2"/>
  <c r="S900" i="2" s="1"/>
  <c r="C901" i="2"/>
  <c r="D901" i="2"/>
  <c r="E901" i="2"/>
  <c r="F901" i="2" s="1"/>
  <c r="H901" i="2"/>
  <c r="I901" i="2"/>
  <c r="J901" i="2"/>
  <c r="K901" i="2"/>
  <c r="L901" i="2"/>
  <c r="M901" i="2" s="1"/>
  <c r="N901" i="2"/>
  <c r="P901" i="2"/>
  <c r="Q901" i="2"/>
  <c r="R901" i="2"/>
  <c r="S901" i="2" s="1"/>
  <c r="C902" i="2"/>
  <c r="D902" i="2"/>
  <c r="E902" i="2"/>
  <c r="F902" i="2" s="1"/>
  <c r="G902" i="2"/>
  <c r="O902" i="2" s="1"/>
  <c r="H902" i="2"/>
  <c r="I902" i="2"/>
  <c r="J902" i="2"/>
  <c r="K902" i="2"/>
  <c r="L902" i="2"/>
  <c r="M902" i="2" s="1"/>
  <c r="N902" i="2"/>
  <c r="P902" i="2"/>
  <c r="Q902" i="2"/>
  <c r="R902" i="2"/>
  <c r="S902" i="2" s="1"/>
  <c r="C903" i="2"/>
  <c r="D903" i="2"/>
  <c r="E903" i="2"/>
  <c r="H903" i="2"/>
  <c r="I903" i="2"/>
  <c r="J903" i="2"/>
  <c r="K903" i="2"/>
  <c r="L903" i="2"/>
  <c r="M903" i="2" s="1"/>
  <c r="N903" i="2"/>
  <c r="P903" i="2"/>
  <c r="Q903" i="2"/>
  <c r="R903" i="2"/>
  <c r="S903" i="2" s="1"/>
  <c r="C904" i="2"/>
  <c r="D904" i="2"/>
  <c r="E904" i="2"/>
  <c r="G904" i="2" s="1"/>
  <c r="H904" i="2"/>
  <c r="I904" i="2"/>
  <c r="J904" i="2"/>
  <c r="K904" i="2"/>
  <c r="L904" i="2"/>
  <c r="M904" i="2"/>
  <c r="N904" i="2"/>
  <c r="P904" i="2"/>
  <c r="Q904" i="2"/>
  <c r="R904" i="2"/>
  <c r="S904" i="2" s="1"/>
  <c r="C905" i="2"/>
  <c r="D905" i="2"/>
  <c r="E905" i="2"/>
  <c r="F905" i="2" s="1"/>
  <c r="H905" i="2"/>
  <c r="I905" i="2"/>
  <c r="J905" i="2"/>
  <c r="K905" i="2"/>
  <c r="L905" i="2"/>
  <c r="M905" i="2" s="1"/>
  <c r="N905" i="2"/>
  <c r="P905" i="2"/>
  <c r="Q905" i="2"/>
  <c r="R905" i="2"/>
  <c r="S905" i="2" s="1"/>
  <c r="C906" i="2"/>
  <c r="D906" i="2"/>
  <c r="E906" i="2"/>
  <c r="F906" i="2" s="1"/>
  <c r="H906" i="2"/>
  <c r="I906" i="2"/>
  <c r="J906" i="2"/>
  <c r="K906" i="2"/>
  <c r="L906" i="2"/>
  <c r="M906" i="2" s="1"/>
  <c r="N906" i="2"/>
  <c r="P906" i="2"/>
  <c r="Q906" i="2"/>
  <c r="R906" i="2"/>
  <c r="S906" i="2" s="1"/>
  <c r="C907" i="2"/>
  <c r="D907" i="2"/>
  <c r="E907" i="2"/>
  <c r="H907" i="2"/>
  <c r="I907" i="2"/>
  <c r="J907" i="2"/>
  <c r="K907" i="2"/>
  <c r="L907" i="2"/>
  <c r="M907" i="2" s="1"/>
  <c r="N907" i="2"/>
  <c r="P907" i="2"/>
  <c r="Q907" i="2"/>
  <c r="R907" i="2"/>
  <c r="S907" i="2" s="1"/>
  <c r="C908" i="2"/>
  <c r="D908" i="2"/>
  <c r="E908" i="2"/>
  <c r="G908" i="2" s="1"/>
  <c r="H908" i="2"/>
  <c r="I908" i="2"/>
  <c r="J908" i="2"/>
  <c r="K908" i="2"/>
  <c r="L908" i="2"/>
  <c r="M908" i="2" s="1"/>
  <c r="N908" i="2"/>
  <c r="P908" i="2"/>
  <c r="Q908" i="2"/>
  <c r="R908" i="2"/>
  <c r="S908" i="2" s="1"/>
  <c r="C909" i="2"/>
  <c r="D909" i="2"/>
  <c r="E909" i="2"/>
  <c r="F909" i="2" s="1"/>
  <c r="H909" i="2"/>
  <c r="I909" i="2"/>
  <c r="J909" i="2"/>
  <c r="K909" i="2"/>
  <c r="L909" i="2"/>
  <c r="M909" i="2" s="1"/>
  <c r="N909" i="2"/>
  <c r="P909" i="2"/>
  <c r="Q909" i="2"/>
  <c r="R909" i="2"/>
  <c r="S909" i="2" s="1"/>
  <c r="C910" i="2"/>
  <c r="D910" i="2"/>
  <c r="E910" i="2"/>
  <c r="F910" i="2" s="1"/>
  <c r="H910" i="2"/>
  <c r="I910" i="2"/>
  <c r="J910" i="2"/>
  <c r="K910" i="2"/>
  <c r="L910" i="2"/>
  <c r="M910" i="2" s="1"/>
  <c r="N910" i="2"/>
  <c r="P910" i="2"/>
  <c r="Q910" i="2"/>
  <c r="R910" i="2"/>
  <c r="S910" i="2" s="1"/>
  <c r="C911" i="2"/>
  <c r="D911" i="2"/>
  <c r="E911" i="2"/>
  <c r="F911" i="2" s="1"/>
  <c r="G911" i="2"/>
  <c r="H911" i="2"/>
  <c r="I911" i="2"/>
  <c r="J911" i="2"/>
  <c r="K911" i="2"/>
  <c r="L911" i="2"/>
  <c r="M911" i="2" s="1"/>
  <c r="N911" i="2"/>
  <c r="P911" i="2"/>
  <c r="Q911" i="2"/>
  <c r="R911" i="2"/>
  <c r="S911" i="2" s="1"/>
  <c r="C912" i="2"/>
  <c r="D912" i="2"/>
  <c r="E912" i="2"/>
  <c r="G912" i="2" s="1"/>
  <c r="H912" i="2"/>
  <c r="I912" i="2"/>
  <c r="J912" i="2"/>
  <c r="K912" i="2"/>
  <c r="L912" i="2"/>
  <c r="M912" i="2"/>
  <c r="N912" i="2"/>
  <c r="P912" i="2"/>
  <c r="Q912" i="2"/>
  <c r="R912" i="2"/>
  <c r="S912" i="2" s="1"/>
  <c r="C913" i="2"/>
  <c r="D913" i="2"/>
  <c r="E913" i="2"/>
  <c r="F913" i="2" s="1"/>
  <c r="H913" i="2"/>
  <c r="I913" i="2"/>
  <c r="J913" i="2"/>
  <c r="K913" i="2"/>
  <c r="L913" i="2"/>
  <c r="M913" i="2" s="1"/>
  <c r="N913" i="2"/>
  <c r="P913" i="2"/>
  <c r="Q913" i="2"/>
  <c r="R913" i="2"/>
  <c r="S913" i="2" s="1"/>
  <c r="C914" i="2"/>
  <c r="D914" i="2"/>
  <c r="E914" i="2"/>
  <c r="F914" i="2" s="1"/>
  <c r="G914" i="2"/>
  <c r="H914" i="2"/>
  <c r="I914" i="2"/>
  <c r="J914" i="2"/>
  <c r="K914" i="2"/>
  <c r="L914" i="2"/>
  <c r="M914" i="2" s="1"/>
  <c r="N914" i="2"/>
  <c r="P914" i="2"/>
  <c r="Q914" i="2"/>
  <c r="R914" i="2"/>
  <c r="S914" i="2" s="1"/>
  <c r="C915" i="2"/>
  <c r="D915" i="2"/>
  <c r="E915" i="2"/>
  <c r="H915" i="2"/>
  <c r="I915" i="2"/>
  <c r="J915" i="2"/>
  <c r="K915" i="2"/>
  <c r="L915" i="2"/>
  <c r="M915" i="2" s="1"/>
  <c r="N915" i="2"/>
  <c r="P915" i="2"/>
  <c r="Q915" i="2"/>
  <c r="R915" i="2"/>
  <c r="S915" i="2" s="1"/>
  <c r="C916" i="2"/>
  <c r="D916" i="2"/>
  <c r="E916" i="2"/>
  <c r="G916" i="2" s="1"/>
  <c r="H916" i="2"/>
  <c r="I916" i="2"/>
  <c r="J916" i="2"/>
  <c r="K916" i="2"/>
  <c r="L916" i="2"/>
  <c r="M916" i="2"/>
  <c r="N916" i="2"/>
  <c r="P916" i="2"/>
  <c r="Q916" i="2"/>
  <c r="R916" i="2"/>
  <c r="S916" i="2" s="1"/>
  <c r="C917" i="2"/>
  <c r="D917" i="2"/>
  <c r="E917" i="2"/>
  <c r="F917" i="2" s="1"/>
  <c r="H917" i="2"/>
  <c r="I917" i="2"/>
  <c r="J917" i="2"/>
  <c r="K917" i="2"/>
  <c r="L917" i="2"/>
  <c r="M917" i="2" s="1"/>
  <c r="N917" i="2"/>
  <c r="P917" i="2"/>
  <c r="Q917" i="2"/>
  <c r="R917" i="2"/>
  <c r="S917" i="2" s="1"/>
  <c r="C918" i="2"/>
  <c r="D918" i="2"/>
  <c r="E918" i="2"/>
  <c r="F918" i="2" s="1"/>
  <c r="G918" i="2"/>
  <c r="O918" i="2" s="1"/>
  <c r="H918" i="2"/>
  <c r="I918" i="2"/>
  <c r="J918" i="2"/>
  <c r="K918" i="2"/>
  <c r="L918" i="2"/>
  <c r="M918" i="2" s="1"/>
  <c r="N918" i="2"/>
  <c r="P918" i="2"/>
  <c r="Q918" i="2"/>
  <c r="R918" i="2"/>
  <c r="S918" i="2" s="1"/>
  <c r="C919" i="2"/>
  <c r="D919" i="2"/>
  <c r="E919" i="2"/>
  <c r="F919" i="2" s="1"/>
  <c r="G919" i="2"/>
  <c r="O919" i="2" s="1"/>
  <c r="H919" i="2"/>
  <c r="I919" i="2"/>
  <c r="J919" i="2"/>
  <c r="K919" i="2"/>
  <c r="L919" i="2"/>
  <c r="M919" i="2" s="1"/>
  <c r="N919" i="2"/>
  <c r="P919" i="2"/>
  <c r="Q919" i="2"/>
  <c r="R919" i="2"/>
  <c r="S919" i="2" s="1"/>
  <c r="C920" i="2"/>
  <c r="D920" i="2"/>
  <c r="E920" i="2"/>
  <c r="G920" i="2" s="1"/>
  <c r="H920" i="2"/>
  <c r="I920" i="2"/>
  <c r="J920" i="2"/>
  <c r="K920" i="2"/>
  <c r="L920" i="2"/>
  <c r="M920" i="2"/>
  <c r="N920" i="2"/>
  <c r="P920" i="2"/>
  <c r="Q920" i="2"/>
  <c r="R920" i="2"/>
  <c r="S920" i="2" s="1"/>
  <c r="C921" i="2"/>
  <c r="D921" i="2"/>
  <c r="E921" i="2"/>
  <c r="F921" i="2" s="1"/>
  <c r="H921" i="2"/>
  <c r="I921" i="2"/>
  <c r="J921" i="2"/>
  <c r="K921" i="2"/>
  <c r="L921" i="2"/>
  <c r="M921" i="2" s="1"/>
  <c r="N921" i="2"/>
  <c r="P921" i="2"/>
  <c r="Q921" i="2"/>
  <c r="R921" i="2"/>
  <c r="S921" i="2" s="1"/>
  <c r="C922" i="2"/>
  <c r="D922" i="2"/>
  <c r="E922" i="2"/>
  <c r="F922" i="2" s="1"/>
  <c r="G922" i="2"/>
  <c r="H922" i="2"/>
  <c r="I922" i="2"/>
  <c r="J922" i="2"/>
  <c r="K922" i="2"/>
  <c r="L922" i="2"/>
  <c r="M922" i="2" s="1"/>
  <c r="N922" i="2"/>
  <c r="P922" i="2"/>
  <c r="Q922" i="2"/>
  <c r="R922" i="2"/>
  <c r="S922" i="2" s="1"/>
  <c r="C923" i="2"/>
  <c r="D923" i="2"/>
  <c r="E923" i="2"/>
  <c r="F923" i="2" s="1"/>
  <c r="G923" i="2"/>
  <c r="O923" i="2" s="1"/>
  <c r="H923" i="2"/>
  <c r="I923" i="2"/>
  <c r="J923" i="2"/>
  <c r="K923" i="2"/>
  <c r="L923" i="2"/>
  <c r="M923" i="2" s="1"/>
  <c r="N923" i="2"/>
  <c r="P923" i="2"/>
  <c r="Q923" i="2"/>
  <c r="R923" i="2"/>
  <c r="S923" i="2" s="1"/>
  <c r="C924" i="2"/>
  <c r="D924" i="2"/>
  <c r="E924" i="2"/>
  <c r="G924" i="2" s="1"/>
  <c r="H924" i="2"/>
  <c r="I924" i="2"/>
  <c r="J924" i="2"/>
  <c r="K924" i="2"/>
  <c r="L924" i="2"/>
  <c r="M924" i="2" s="1"/>
  <c r="N924" i="2"/>
  <c r="P924" i="2"/>
  <c r="Q924" i="2"/>
  <c r="R924" i="2"/>
  <c r="S924" i="2" s="1"/>
  <c r="C925" i="2"/>
  <c r="D925" i="2"/>
  <c r="E925" i="2"/>
  <c r="F925" i="2" s="1"/>
  <c r="H925" i="2"/>
  <c r="I925" i="2"/>
  <c r="J925" i="2"/>
  <c r="K925" i="2"/>
  <c r="L925" i="2"/>
  <c r="M925" i="2" s="1"/>
  <c r="N925" i="2"/>
  <c r="P925" i="2"/>
  <c r="Q925" i="2"/>
  <c r="R925" i="2"/>
  <c r="S925" i="2" s="1"/>
  <c r="C926" i="2"/>
  <c r="D926" i="2"/>
  <c r="E926" i="2"/>
  <c r="H926" i="2"/>
  <c r="I926" i="2"/>
  <c r="J926" i="2"/>
  <c r="K926" i="2"/>
  <c r="L926" i="2"/>
  <c r="M926" i="2" s="1"/>
  <c r="N926" i="2"/>
  <c r="P926" i="2"/>
  <c r="Q926" i="2"/>
  <c r="R926" i="2"/>
  <c r="S926" i="2" s="1"/>
  <c r="C927" i="2"/>
  <c r="D927" i="2"/>
  <c r="E927" i="2"/>
  <c r="F927" i="2" s="1"/>
  <c r="H927" i="2"/>
  <c r="I927" i="2"/>
  <c r="J927" i="2"/>
  <c r="K927" i="2"/>
  <c r="L927" i="2"/>
  <c r="M927" i="2" s="1"/>
  <c r="N927" i="2"/>
  <c r="P927" i="2"/>
  <c r="Q927" i="2"/>
  <c r="R927" i="2"/>
  <c r="S927" i="2" s="1"/>
  <c r="C928" i="2"/>
  <c r="D928" i="2"/>
  <c r="E928" i="2"/>
  <c r="G928" i="2" s="1"/>
  <c r="H928" i="2"/>
  <c r="I928" i="2"/>
  <c r="J928" i="2"/>
  <c r="K928" i="2"/>
  <c r="L928" i="2"/>
  <c r="M928" i="2"/>
  <c r="N928" i="2"/>
  <c r="P928" i="2"/>
  <c r="Q928" i="2"/>
  <c r="R928" i="2"/>
  <c r="S928" i="2" s="1"/>
  <c r="C929" i="2"/>
  <c r="D929" i="2"/>
  <c r="E929" i="2"/>
  <c r="F929" i="2" s="1"/>
  <c r="H929" i="2"/>
  <c r="I929" i="2"/>
  <c r="J929" i="2"/>
  <c r="K929" i="2"/>
  <c r="L929" i="2"/>
  <c r="M929" i="2" s="1"/>
  <c r="N929" i="2"/>
  <c r="P929" i="2"/>
  <c r="Q929" i="2"/>
  <c r="R929" i="2"/>
  <c r="S929" i="2" s="1"/>
  <c r="C930" i="2"/>
  <c r="D930" i="2"/>
  <c r="E930" i="2"/>
  <c r="F930" i="2" s="1"/>
  <c r="G930" i="2"/>
  <c r="O930" i="2" s="1"/>
  <c r="H930" i="2"/>
  <c r="I930" i="2"/>
  <c r="J930" i="2"/>
  <c r="K930" i="2"/>
  <c r="L930" i="2"/>
  <c r="M930" i="2" s="1"/>
  <c r="N930" i="2"/>
  <c r="P930" i="2"/>
  <c r="Q930" i="2"/>
  <c r="R930" i="2"/>
  <c r="S930" i="2" s="1"/>
  <c r="C931" i="2"/>
  <c r="D931" i="2"/>
  <c r="E931" i="2"/>
  <c r="F931" i="2" s="1"/>
  <c r="H931" i="2"/>
  <c r="I931" i="2"/>
  <c r="J931" i="2"/>
  <c r="K931" i="2"/>
  <c r="L931" i="2"/>
  <c r="M931" i="2" s="1"/>
  <c r="N931" i="2"/>
  <c r="P931" i="2"/>
  <c r="Q931" i="2"/>
  <c r="R931" i="2"/>
  <c r="S931" i="2" s="1"/>
  <c r="C932" i="2"/>
  <c r="D932" i="2"/>
  <c r="E932" i="2"/>
  <c r="G932" i="2" s="1"/>
  <c r="H932" i="2"/>
  <c r="I932" i="2"/>
  <c r="J932" i="2"/>
  <c r="K932" i="2"/>
  <c r="L932" i="2"/>
  <c r="M932" i="2"/>
  <c r="N932" i="2"/>
  <c r="P932" i="2"/>
  <c r="Q932" i="2"/>
  <c r="R932" i="2"/>
  <c r="S932" i="2" s="1"/>
  <c r="C933" i="2"/>
  <c r="D933" i="2"/>
  <c r="E933" i="2"/>
  <c r="F933" i="2" s="1"/>
  <c r="H933" i="2"/>
  <c r="I933" i="2"/>
  <c r="J933" i="2"/>
  <c r="K933" i="2"/>
  <c r="L933" i="2"/>
  <c r="M933" i="2" s="1"/>
  <c r="N933" i="2"/>
  <c r="P933" i="2"/>
  <c r="Q933" i="2"/>
  <c r="R933" i="2"/>
  <c r="S933" i="2" s="1"/>
  <c r="C934" i="2"/>
  <c r="D934" i="2"/>
  <c r="E934" i="2"/>
  <c r="F934" i="2" s="1"/>
  <c r="H934" i="2"/>
  <c r="I934" i="2"/>
  <c r="J934" i="2"/>
  <c r="K934" i="2"/>
  <c r="L934" i="2"/>
  <c r="M934" i="2" s="1"/>
  <c r="N934" i="2"/>
  <c r="P934" i="2"/>
  <c r="Q934" i="2"/>
  <c r="R934" i="2"/>
  <c r="S934" i="2" s="1"/>
  <c r="C935" i="2"/>
  <c r="D935" i="2"/>
  <c r="E935" i="2"/>
  <c r="F935" i="2" s="1"/>
  <c r="G935" i="2"/>
  <c r="O935" i="2" s="1"/>
  <c r="H935" i="2"/>
  <c r="I935" i="2"/>
  <c r="J935" i="2"/>
  <c r="K935" i="2"/>
  <c r="L935" i="2"/>
  <c r="M935" i="2" s="1"/>
  <c r="N935" i="2"/>
  <c r="P935" i="2"/>
  <c r="Q935" i="2"/>
  <c r="R935" i="2"/>
  <c r="S935" i="2" s="1"/>
  <c r="C936" i="2"/>
  <c r="D936" i="2"/>
  <c r="E936" i="2"/>
  <c r="G936" i="2" s="1"/>
  <c r="H936" i="2"/>
  <c r="I936" i="2"/>
  <c r="J936" i="2"/>
  <c r="K936" i="2"/>
  <c r="L936" i="2"/>
  <c r="M936" i="2" s="1"/>
  <c r="N936" i="2"/>
  <c r="P936" i="2"/>
  <c r="Q936" i="2"/>
  <c r="R936" i="2"/>
  <c r="S936" i="2" s="1"/>
  <c r="C937" i="2"/>
  <c r="D937" i="2"/>
  <c r="E937" i="2"/>
  <c r="F937" i="2" s="1"/>
  <c r="H937" i="2"/>
  <c r="I937" i="2"/>
  <c r="J937" i="2"/>
  <c r="K937" i="2"/>
  <c r="L937" i="2"/>
  <c r="M937" i="2" s="1"/>
  <c r="N937" i="2"/>
  <c r="P937" i="2"/>
  <c r="Q937" i="2"/>
  <c r="R937" i="2"/>
  <c r="S937" i="2" s="1"/>
  <c r="C938" i="2"/>
  <c r="D938" i="2"/>
  <c r="E938" i="2"/>
  <c r="H938" i="2"/>
  <c r="I938" i="2"/>
  <c r="J938" i="2"/>
  <c r="K938" i="2"/>
  <c r="L938" i="2"/>
  <c r="M938" i="2" s="1"/>
  <c r="N938" i="2"/>
  <c r="P938" i="2"/>
  <c r="Q938" i="2"/>
  <c r="R938" i="2"/>
  <c r="S938" i="2" s="1"/>
  <c r="C939" i="2"/>
  <c r="D939" i="2"/>
  <c r="E939" i="2"/>
  <c r="H939" i="2"/>
  <c r="I939" i="2"/>
  <c r="J939" i="2"/>
  <c r="K939" i="2"/>
  <c r="L939" i="2"/>
  <c r="M939" i="2"/>
  <c r="N939" i="2"/>
  <c r="P939" i="2"/>
  <c r="Q939" i="2"/>
  <c r="R939" i="2"/>
  <c r="S939" i="2" s="1"/>
  <c r="C940" i="2"/>
  <c r="D940" i="2"/>
  <c r="E940" i="2"/>
  <c r="H940" i="2"/>
  <c r="I940" i="2"/>
  <c r="J940" i="2"/>
  <c r="K940" i="2"/>
  <c r="L940" i="2"/>
  <c r="M940" i="2"/>
  <c r="N940" i="2"/>
  <c r="P940" i="2"/>
  <c r="Q940" i="2"/>
  <c r="R940" i="2"/>
  <c r="S940" i="2" s="1"/>
  <c r="C941" i="2"/>
  <c r="D941" i="2"/>
  <c r="E941" i="2"/>
  <c r="F941" i="2" s="1"/>
  <c r="H941" i="2"/>
  <c r="I941" i="2"/>
  <c r="J941" i="2"/>
  <c r="K941" i="2"/>
  <c r="L941" i="2"/>
  <c r="M941" i="2" s="1"/>
  <c r="N941" i="2"/>
  <c r="P941" i="2"/>
  <c r="Q941" i="2"/>
  <c r="R941" i="2"/>
  <c r="S941" i="2" s="1"/>
  <c r="C942" i="2"/>
  <c r="D942" i="2"/>
  <c r="E942" i="2"/>
  <c r="H942" i="2"/>
  <c r="I942" i="2"/>
  <c r="J942" i="2"/>
  <c r="K942" i="2"/>
  <c r="L942" i="2"/>
  <c r="M942" i="2" s="1"/>
  <c r="N942" i="2"/>
  <c r="P942" i="2"/>
  <c r="Q942" i="2"/>
  <c r="R942" i="2"/>
  <c r="S942" i="2" s="1"/>
  <c r="C943" i="2"/>
  <c r="D943" i="2"/>
  <c r="E943" i="2"/>
  <c r="H943" i="2"/>
  <c r="I943" i="2"/>
  <c r="J943" i="2"/>
  <c r="K943" i="2"/>
  <c r="L943" i="2"/>
  <c r="M943" i="2" s="1"/>
  <c r="N943" i="2"/>
  <c r="P943" i="2"/>
  <c r="Q943" i="2"/>
  <c r="R943" i="2"/>
  <c r="S943" i="2" s="1"/>
  <c r="C944" i="2"/>
  <c r="D944" i="2"/>
  <c r="E944" i="2"/>
  <c r="H944" i="2"/>
  <c r="I944" i="2"/>
  <c r="J944" i="2"/>
  <c r="K944" i="2"/>
  <c r="L944" i="2"/>
  <c r="M944" i="2"/>
  <c r="N944" i="2"/>
  <c r="P944" i="2"/>
  <c r="Q944" i="2"/>
  <c r="R944" i="2"/>
  <c r="S944" i="2" s="1"/>
  <c r="C945" i="2"/>
  <c r="D945" i="2"/>
  <c r="E945" i="2"/>
  <c r="F945" i="2" s="1"/>
  <c r="H945" i="2"/>
  <c r="I945" i="2"/>
  <c r="J945" i="2"/>
  <c r="K945" i="2"/>
  <c r="L945" i="2"/>
  <c r="M945" i="2" s="1"/>
  <c r="N945" i="2"/>
  <c r="P945" i="2"/>
  <c r="Q945" i="2"/>
  <c r="R945" i="2"/>
  <c r="S945" i="2" s="1"/>
  <c r="C946" i="2"/>
  <c r="D946" i="2"/>
  <c r="E946" i="2"/>
  <c r="H946" i="2"/>
  <c r="I946" i="2"/>
  <c r="J946" i="2"/>
  <c r="K946" i="2"/>
  <c r="L946" i="2"/>
  <c r="M946" i="2" s="1"/>
  <c r="N946" i="2"/>
  <c r="P946" i="2"/>
  <c r="Q946" i="2"/>
  <c r="R946" i="2"/>
  <c r="S946" i="2" s="1"/>
  <c r="C947" i="2"/>
  <c r="D947" i="2"/>
  <c r="E947" i="2"/>
  <c r="H947" i="2"/>
  <c r="I947" i="2"/>
  <c r="J947" i="2"/>
  <c r="K947" i="2"/>
  <c r="L947" i="2"/>
  <c r="M947" i="2"/>
  <c r="N947" i="2"/>
  <c r="P947" i="2"/>
  <c r="Q947" i="2"/>
  <c r="R947" i="2"/>
  <c r="S947" i="2" s="1"/>
  <c r="C948" i="2"/>
  <c r="D948" i="2"/>
  <c r="E948" i="2"/>
  <c r="H948" i="2"/>
  <c r="I948" i="2"/>
  <c r="J948" i="2"/>
  <c r="K948" i="2"/>
  <c r="L948" i="2"/>
  <c r="M948" i="2" s="1"/>
  <c r="N948" i="2"/>
  <c r="P948" i="2"/>
  <c r="Q948" i="2"/>
  <c r="R948" i="2"/>
  <c r="S948" i="2" s="1"/>
  <c r="C949" i="2"/>
  <c r="D949" i="2"/>
  <c r="E949" i="2"/>
  <c r="F949" i="2" s="1"/>
  <c r="H949" i="2"/>
  <c r="I949" i="2"/>
  <c r="J949" i="2"/>
  <c r="K949" i="2"/>
  <c r="L949" i="2"/>
  <c r="M949" i="2"/>
  <c r="N949" i="2"/>
  <c r="P949" i="2"/>
  <c r="Q949" i="2"/>
  <c r="R949" i="2"/>
  <c r="S949" i="2" s="1"/>
  <c r="C950" i="2"/>
  <c r="D950" i="2"/>
  <c r="E950" i="2"/>
  <c r="H950" i="2"/>
  <c r="I950" i="2"/>
  <c r="J950" i="2"/>
  <c r="K950" i="2"/>
  <c r="L950" i="2"/>
  <c r="M950" i="2" s="1"/>
  <c r="N950" i="2"/>
  <c r="P950" i="2"/>
  <c r="Q950" i="2"/>
  <c r="R950" i="2"/>
  <c r="S950" i="2" s="1"/>
  <c r="C951" i="2"/>
  <c r="D951" i="2"/>
  <c r="E951" i="2"/>
  <c r="H951" i="2"/>
  <c r="I951" i="2"/>
  <c r="J951" i="2"/>
  <c r="K951" i="2"/>
  <c r="L951" i="2"/>
  <c r="M951" i="2" s="1"/>
  <c r="N951" i="2"/>
  <c r="P951" i="2"/>
  <c r="Q951" i="2"/>
  <c r="R951" i="2"/>
  <c r="S951" i="2" s="1"/>
  <c r="C952" i="2"/>
  <c r="D952" i="2"/>
  <c r="E952" i="2"/>
  <c r="H952" i="2"/>
  <c r="I952" i="2"/>
  <c r="J952" i="2"/>
  <c r="K952" i="2"/>
  <c r="L952" i="2"/>
  <c r="M952" i="2"/>
  <c r="N952" i="2"/>
  <c r="P952" i="2"/>
  <c r="Q952" i="2"/>
  <c r="R952" i="2"/>
  <c r="S952" i="2" s="1"/>
  <c r="C953" i="2"/>
  <c r="D953" i="2"/>
  <c r="E953" i="2"/>
  <c r="F953" i="2" s="1"/>
  <c r="H953" i="2"/>
  <c r="I953" i="2"/>
  <c r="J953" i="2"/>
  <c r="K953" i="2"/>
  <c r="L953" i="2"/>
  <c r="M953" i="2" s="1"/>
  <c r="N953" i="2"/>
  <c r="P953" i="2"/>
  <c r="Q953" i="2"/>
  <c r="R953" i="2"/>
  <c r="S953" i="2" s="1"/>
  <c r="C954" i="2"/>
  <c r="D954" i="2"/>
  <c r="E954" i="2"/>
  <c r="H954" i="2"/>
  <c r="I954" i="2"/>
  <c r="J954" i="2"/>
  <c r="K954" i="2"/>
  <c r="L954" i="2"/>
  <c r="M954" i="2" s="1"/>
  <c r="N954" i="2"/>
  <c r="P954" i="2"/>
  <c r="Q954" i="2"/>
  <c r="R954" i="2"/>
  <c r="S954" i="2" s="1"/>
  <c r="C955" i="2"/>
  <c r="D955" i="2"/>
  <c r="E955" i="2"/>
  <c r="H955" i="2"/>
  <c r="I955" i="2"/>
  <c r="J955" i="2"/>
  <c r="K955" i="2"/>
  <c r="L955" i="2"/>
  <c r="M955" i="2"/>
  <c r="N955" i="2"/>
  <c r="P955" i="2"/>
  <c r="Q955" i="2"/>
  <c r="R955" i="2"/>
  <c r="S955" i="2"/>
  <c r="C956" i="2"/>
  <c r="D956" i="2"/>
  <c r="E956" i="2"/>
  <c r="H956" i="2"/>
  <c r="I956" i="2"/>
  <c r="J956" i="2"/>
  <c r="K956" i="2"/>
  <c r="L956" i="2"/>
  <c r="M956" i="2" s="1"/>
  <c r="N956" i="2"/>
  <c r="P956" i="2"/>
  <c r="Q956" i="2"/>
  <c r="R956" i="2"/>
  <c r="S956" i="2" s="1"/>
  <c r="C957" i="2"/>
  <c r="D957" i="2"/>
  <c r="E957" i="2"/>
  <c r="F957" i="2" s="1"/>
  <c r="H957" i="2"/>
  <c r="I957" i="2"/>
  <c r="J957" i="2"/>
  <c r="K957" i="2"/>
  <c r="L957" i="2"/>
  <c r="M957" i="2" s="1"/>
  <c r="N957" i="2"/>
  <c r="P957" i="2"/>
  <c r="Q957" i="2"/>
  <c r="R957" i="2"/>
  <c r="S957" i="2"/>
  <c r="C958" i="2"/>
  <c r="D958" i="2"/>
  <c r="E958" i="2"/>
  <c r="G958" i="2" s="1"/>
  <c r="F958" i="2"/>
  <c r="H958" i="2"/>
  <c r="I958" i="2"/>
  <c r="J958" i="2"/>
  <c r="K958" i="2"/>
  <c r="L958" i="2"/>
  <c r="M958" i="2" s="1"/>
  <c r="N958" i="2"/>
  <c r="P958" i="2"/>
  <c r="Q958" i="2"/>
  <c r="R958" i="2"/>
  <c r="S958" i="2" s="1"/>
  <c r="C959" i="2"/>
  <c r="D959" i="2"/>
  <c r="E959" i="2"/>
  <c r="G959" i="2" s="1"/>
  <c r="O959" i="2" s="1"/>
  <c r="H959" i="2"/>
  <c r="I959" i="2"/>
  <c r="J959" i="2"/>
  <c r="K959" i="2"/>
  <c r="L959" i="2"/>
  <c r="M959" i="2" s="1"/>
  <c r="N959" i="2"/>
  <c r="P959" i="2"/>
  <c r="Q959" i="2"/>
  <c r="R959" i="2"/>
  <c r="S959" i="2"/>
  <c r="C960" i="2"/>
  <c r="D960" i="2"/>
  <c r="E960" i="2"/>
  <c r="G960" i="2" s="1"/>
  <c r="O960" i="2" s="1"/>
  <c r="H960" i="2"/>
  <c r="I960" i="2"/>
  <c r="J960" i="2"/>
  <c r="K960" i="2"/>
  <c r="L960" i="2"/>
  <c r="M960" i="2" s="1"/>
  <c r="N960" i="2"/>
  <c r="P960" i="2"/>
  <c r="Q960" i="2"/>
  <c r="R960" i="2"/>
  <c r="S960" i="2" s="1"/>
  <c r="C961" i="2"/>
  <c r="D961" i="2"/>
  <c r="E961" i="2"/>
  <c r="F961" i="2" s="1"/>
  <c r="H961" i="2"/>
  <c r="I961" i="2"/>
  <c r="J961" i="2"/>
  <c r="K961" i="2"/>
  <c r="L961" i="2"/>
  <c r="M961" i="2" s="1"/>
  <c r="N961" i="2"/>
  <c r="P961" i="2"/>
  <c r="Q961" i="2"/>
  <c r="R961" i="2"/>
  <c r="S961" i="2" s="1"/>
  <c r="C962" i="2"/>
  <c r="D962" i="2"/>
  <c r="E962" i="2"/>
  <c r="H962" i="2"/>
  <c r="I962" i="2"/>
  <c r="J962" i="2"/>
  <c r="K962" i="2"/>
  <c r="L962" i="2"/>
  <c r="M962" i="2" s="1"/>
  <c r="N962" i="2"/>
  <c r="P962" i="2"/>
  <c r="Q962" i="2"/>
  <c r="R962" i="2"/>
  <c r="S962" i="2"/>
  <c r="C963" i="2"/>
  <c r="D963" i="2"/>
  <c r="E963" i="2"/>
  <c r="H963" i="2"/>
  <c r="I963" i="2"/>
  <c r="J963" i="2"/>
  <c r="K963" i="2"/>
  <c r="L963" i="2"/>
  <c r="M963" i="2" s="1"/>
  <c r="N963" i="2"/>
  <c r="P963" i="2"/>
  <c r="Q963" i="2"/>
  <c r="R963" i="2"/>
  <c r="S963" i="2" s="1"/>
  <c r="C964" i="2"/>
  <c r="D964" i="2"/>
  <c r="E964" i="2"/>
  <c r="G964" i="2" s="1"/>
  <c r="H964" i="2"/>
  <c r="I964" i="2"/>
  <c r="J964" i="2"/>
  <c r="K964" i="2"/>
  <c r="L964" i="2"/>
  <c r="M964" i="2" s="1"/>
  <c r="N964" i="2"/>
  <c r="P964" i="2"/>
  <c r="Q964" i="2"/>
  <c r="R964" i="2"/>
  <c r="S964" i="2" s="1"/>
  <c r="C965" i="2"/>
  <c r="D965" i="2"/>
  <c r="E965" i="2"/>
  <c r="F965" i="2" s="1"/>
  <c r="H965" i="2"/>
  <c r="I965" i="2"/>
  <c r="J965" i="2"/>
  <c r="K965" i="2"/>
  <c r="L965" i="2"/>
  <c r="M965" i="2"/>
  <c r="N965" i="2"/>
  <c r="P965" i="2"/>
  <c r="Q965" i="2"/>
  <c r="R965" i="2"/>
  <c r="S965" i="2" s="1"/>
  <c r="C966" i="2"/>
  <c r="D966" i="2"/>
  <c r="E966" i="2"/>
  <c r="G966" i="2" s="1"/>
  <c r="H966" i="2"/>
  <c r="I966" i="2"/>
  <c r="J966" i="2"/>
  <c r="K966" i="2"/>
  <c r="L966" i="2"/>
  <c r="M966" i="2" s="1"/>
  <c r="N966" i="2"/>
  <c r="P966" i="2"/>
  <c r="Q966" i="2"/>
  <c r="R966" i="2"/>
  <c r="S966" i="2"/>
  <c r="C967" i="2"/>
  <c r="D967" i="2"/>
  <c r="E967" i="2"/>
  <c r="G967" i="2" s="1"/>
  <c r="H967" i="2"/>
  <c r="I967" i="2"/>
  <c r="J967" i="2"/>
  <c r="K967" i="2"/>
  <c r="L967" i="2"/>
  <c r="M967" i="2" s="1"/>
  <c r="N967" i="2"/>
  <c r="P967" i="2"/>
  <c r="Q967" i="2"/>
  <c r="R967" i="2"/>
  <c r="S967" i="2" s="1"/>
  <c r="C968" i="2"/>
  <c r="D968" i="2"/>
  <c r="E968" i="2"/>
  <c r="H968" i="2"/>
  <c r="I968" i="2"/>
  <c r="J968" i="2"/>
  <c r="K968" i="2"/>
  <c r="L968" i="2"/>
  <c r="M968" i="2" s="1"/>
  <c r="N968" i="2"/>
  <c r="P968" i="2"/>
  <c r="Q968" i="2"/>
  <c r="R968" i="2"/>
  <c r="S968" i="2" s="1"/>
  <c r="C969" i="2"/>
  <c r="D969" i="2"/>
  <c r="E969" i="2"/>
  <c r="F969" i="2" s="1"/>
  <c r="H969" i="2"/>
  <c r="I969" i="2"/>
  <c r="J969" i="2"/>
  <c r="K969" i="2"/>
  <c r="L969" i="2"/>
  <c r="M969" i="2"/>
  <c r="N969" i="2"/>
  <c r="P969" i="2"/>
  <c r="Q969" i="2"/>
  <c r="R969" i="2"/>
  <c r="S969" i="2" s="1"/>
  <c r="C970" i="2"/>
  <c r="D970" i="2"/>
  <c r="E970" i="2"/>
  <c r="G970" i="2" s="1"/>
  <c r="H970" i="2"/>
  <c r="I970" i="2"/>
  <c r="J970" i="2"/>
  <c r="K970" i="2"/>
  <c r="L970" i="2"/>
  <c r="M970" i="2" s="1"/>
  <c r="N970" i="2"/>
  <c r="P970" i="2"/>
  <c r="Q970" i="2"/>
  <c r="R970" i="2"/>
  <c r="S970" i="2"/>
  <c r="C971" i="2"/>
  <c r="D971" i="2"/>
  <c r="E971" i="2"/>
  <c r="H971" i="2"/>
  <c r="I971" i="2"/>
  <c r="J971" i="2"/>
  <c r="K971" i="2"/>
  <c r="L971" i="2"/>
  <c r="M971" i="2" s="1"/>
  <c r="N971" i="2"/>
  <c r="P971" i="2"/>
  <c r="Q971" i="2"/>
  <c r="R971" i="2"/>
  <c r="S971" i="2"/>
  <c r="C972" i="2"/>
  <c r="D972" i="2"/>
  <c r="E972" i="2"/>
  <c r="G972" i="2" s="1"/>
  <c r="O972" i="2" s="1"/>
  <c r="F972" i="2"/>
  <c r="H972" i="2"/>
  <c r="I972" i="2"/>
  <c r="J972" i="2"/>
  <c r="K972" i="2"/>
  <c r="L972" i="2"/>
  <c r="M972" i="2" s="1"/>
  <c r="N972" i="2"/>
  <c r="P972" i="2"/>
  <c r="Q972" i="2"/>
  <c r="R972" i="2"/>
  <c r="S972" i="2" s="1"/>
  <c r="C973" i="2"/>
  <c r="D973" i="2"/>
  <c r="E973" i="2"/>
  <c r="F973" i="2" s="1"/>
  <c r="H973" i="2"/>
  <c r="I973" i="2"/>
  <c r="J973" i="2"/>
  <c r="K973" i="2"/>
  <c r="L973" i="2"/>
  <c r="M973" i="2" s="1"/>
  <c r="N973" i="2"/>
  <c r="P973" i="2"/>
  <c r="Q973" i="2"/>
  <c r="R973" i="2"/>
  <c r="S973" i="2"/>
  <c r="C974" i="2"/>
  <c r="D974" i="2"/>
  <c r="E974" i="2"/>
  <c r="G974" i="2" s="1"/>
  <c r="H974" i="2"/>
  <c r="I974" i="2"/>
  <c r="J974" i="2"/>
  <c r="K974" i="2"/>
  <c r="L974" i="2"/>
  <c r="M974" i="2" s="1"/>
  <c r="N974" i="2"/>
  <c r="P974" i="2"/>
  <c r="Q974" i="2"/>
  <c r="R974" i="2"/>
  <c r="S974" i="2" s="1"/>
  <c r="C975" i="2"/>
  <c r="D975" i="2"/>
  <c r="E975" i="2"/>
  <c r="G975" i="2" s="1"/>
  <c r="O975" i="2" s="1"/>
  <c r="H975" i="2"/>
  <c r="I975" i="2"/>
  <c r="J975" i="2"/>
  <c r="K975" i="2"/>
  <c r="L975" i="2"/>
  <c r="M975" i="2" s="1"/>
  <c r="N975" i="2"/>
  <c r="P975" i="2"/>
  <c r="Q975" i="2"/>
  <c r="R975" i="2"/>
  <c r="S975" i="2" s="1"/>
  <c r="C976" i="2"/>
  <c r="D976" i="2"/>
  <c r="E976" i="2"/>
  <c r="H976" i="2"/>
  <c r="I976" i="2"/>
  <c r="J976" i="2"/>
  <c r="K976" i="2"/>
  <c r="L976" i="2"/>
  <c r="M976" i="2" s="1"/>
  <c r="N976" i="2"/>
  <c r="P976" i="2"/>
  <c r="Q976" i="2"/>
  <c r="R976" i="2"/>
  <c r="S976" i="2" s="1"/>
  <c r="C977" i="2"/>
  <c r="D977" i="2"/>
  <c r="E977" i="2"/>
  <c r="F977" i="2" s="1"/>
  <c r="H977" i="2"/>
  <c r="I977" i="2"/>
  <c r="J977" i="2"/>
  <c r="K977" i="2"/>
  <c r="L977" i="2"/>
  <c r="M977" i="2"/>
  <c r="N977" i="2"/>
  <c r="P977" i="2"/>
  <c r="Q977" i="2"/>
  <c r="R977" i="2"/>
  <c r="S977" i="2"/>
  <c r="C978" i="2"/>
  <c r="D978" i="2"/>
  <c r="E978" i="2"/>
  <c r="H978" i="2"/>
  <c r="I978" i="2"/>
  <c r="J978" i="2"/>
  <c r="K978" i="2"/>
  <c r="L978" i="2"/>
  <c r="M978" i="2" s="1"/>
  <c r="N978" i="2"/>
  <c r="P978" i="2"/>
  <c r="Q978" i="2"/>
  <c r="R978" i="2"/>
  <c r="S978" i="2"/>
  <c r="C979" i="2"/>
  <c r="D979" i="2"/>
  <c r="E979" i="2"/>
  <c r="G979" i="2" s="1"/>
  <c r="F979" i="2"/>
  <c r="H979" i="2"/>
  <c r="I979" i="2"/>
  <c r="J979" i="2"/>
  <c r="K979" i="2"/>
  <c r="L979" i="2"/>
  <c r="M979" i="2"/>
  <c r="N979" i="2"/>
  <c r="P979" i="2"/>
  <c r="Q979" i="2"/>
  <c r="R979" i="2"/>
  <c r="S979" i="2" s="1"/>
  <c r="C980" i="2"/>
  <c r="D980" i="2"/>
  <c r="E980" i="2"/>
  <c r="G980" i="2" s="1"/>
  <c r="O980" i="2" s="1"/>
  <c r="H980" i="2"/>
  <c r="I980" i="2"/>
  <c r="J980" i="2"/>
  <c r="K980" i="2"/>
  <c r="L980" i="2"/>
  <c r="M980" i="2" s="1"/>
  <c r="N980" i="2"/>
  <c r="P980" i="2"/>
  <c r="Q980" i="2"/>
  <c r="R980" i="2"/>
  <c r="S980" i="2" s="1"/>
  <c r="C981" i="2"/>
  <c r="D981" i="2"/>
  <c r="E981" i="2"/>
  <c r="F981" i="2" s="1"/>
  <c r="H981" i="2"/>
  <c r="I981" i="2"/>
  <c r="J981" i="2"/>
  <c r="K981" i="2"/>
  <c r="L981" i="2"/>
  <c r="M981" i="2" s="1"/>
  <c r="N981" i="2"/>
  <c r="P981" i="2"/>
  <c r="Q981" i="2"/>
  <c r="R981" i="2"/>
  <c r="S981" i="2"/>
  <c r="C982" i="2"/>
  <c r="D982" i="2"/>
  <c r="E982" i="2"/>
  <c r="G982" i="2" s="1"/>
  <c r="O982" i="2" s="1"/>
  <c r="H982" i="2"/>
  <c r="I982" i="2"/>
  <c r="J982" i="2"/>
  <c r="K982" i="2"/>
  <c r="L982" i="2"/>
  <c r="M982" i="2" s="1"/>
  <c r="N982" i="2"/>
  <c r="P982" i="2"/>
  <c r="Q982" i="2"/>
  <c r="R982" i="2"/>
  <c r="S982" i="2"/>
  <c r="C983" i="2"/>
  <c r="D983" i="2"/>
  <c r="E983" i="2"/>
  <c r="G983" i="2" s="1"/>
  <c r="F983" i="2"/>
  <c r="H983" i="2"/>
  <c r="I983" i="2"/>
  <c r="J983" i="2"/>
  <c r="K983" i="2"/>
  <c r="L983" i="2"/>
  <c r="M983" i="2"/>
  <c r="N983" i="2"/>
  <c r="P983" i="2"/>
  <c r="Q983" i="2"/>
  <c r="R983" i="2"/>
  <c r="S983" i="2"/>
  <c r="C984" i="2"/>
  <c r="D984" i="2"/>
  <c r="E984" i="2"/>
  <c r="G984" i="2" s="1"/>
  <c r="O984" i="2" s="1"/>
  <c r="F984" i="2"/>
  <c r="H984" i="2"/>
  <c r="I984" i="2"/>
  <c r="J984" i="2"/>
  <c r="K984" i="2"/>
  <c r="L984" i="2"/>
  <c r="M984" i="2" s="1"/>
  <c r="N984" i="2"/>
  <c r="P984" i="2"/>
  <c r="Q984" i="2"/>
  <c r="R984" i="2"/>
  <c r="S984" i="2" s="1"/>
  <c r="C985" i="2"/>
  <c r="D985" i="2"/>
  <c r="E985" i="2"/>
  <c r="F985" i="2" s="1"/>
  <c r="H985" i="2"/>
  <c r="I985" i="2"/>
  <c r="J985" i="2"/>
  <c r="K985" i="2"/>
  <c r="L985" i="2"/>
  <c r="M985" i="2" s="1"/>
  <c r="N985" i="2"/>
  <c r="P985" i="2"/>
  <c r="Q985" i="2"/>
  <c r="R985" i="2"/>
  <c r="S985" i="2"/>
  <c r="C986" i="2"/>
  <c r="D986" i="2"/>
  <c r="E986" i="2"/>
  <c r="F986" i="2"/>
  <c r="G986" i="2"/>
  <c r="O986" i="2" s="1"/>
  <c r="H986" i="2"/>
  <c r="I986" i="2"/>
  <c r="J986" i="2"/>
  <c r="K986" i="2"/>
  <c r="L986" i="2"/>
  <c r="M986" i="2" s="1"/>
  <c r="N986" i="2"/>
  <c r="P986" i="2"/>
  <c r="Q986" i="2"/>
  <c r="R986" i="2"/>
  <c r="S986" i="2"/>
  <c r="C987" i="2"/>
  <c r="D987" i="2"/>
  <c r="E987" i="2"/>
  <c r="H987" i="2"/>
  <c r="I987" i="2"/>
  <c r="J987" i="2"/>
  <c r="K987" i="2"/>
  <c r="L987" i="2"/>
  <c r="M987" i="2" s="1"/>
  <c r="N987" i="2"/>
  <c r="P987" i="2"/>
  <c r="Q987" i="2"/>
  <c r="R987" i="2"/>
  <c r="S987" i="2" s="1"/>
  <c r="C988" i="2"/>
  <c r="D988" i="2"/>
  <c r="E988" i="2"/>
  <c r="G988" i="2" s="1"/>
  <c r="F988" i="2"/>
  <c r="H988" i="2"/>
  <c r="I988" i="2"/>
  <c r="J988" i="2"/>
  <c r="K988" i="2"/>
  <c r="L988" i="2"/>
  <c r="M988" i="2"/>
  <c r="N988" i="2"/>
  <c r="P988" i="2"/>
  <c r="Q988" i="2"/>
  <c r="R988" i="2"/>
  <c r="S988" i="2" s="1"/>
  <c r="O162" i="2" l="1"/>
  <c r="O647" i="2"/>
  <c r="O379" i="2"/>
  <c r="O352" i="2"/>
  <c r="O37" i="2"/>
  <c r="O64" i="2"/>
  <c r="O364" i="2"/>
  <c r="O73" i="2"/>
  <c r="O273" i="2"/>
  <c r="O244" i="2"/>
  <c r="O269" i="2"/>
  <c r="O679" i="2"/>
  <c r="O293" i="2"/>
  <c r="F281" i="2"/>
  <c r="G281" i="2"/>
  <c r="O281" i="2" s="1"/>
  <c r="G931" i="2"/>
  <c r="O931" i="2" s="1"/>
  <c r="F907" i="2"/>
  <c r="G907" i="2"/>
  <c r="O907" i="2" s="1"/>
  <c r="G906" i="2"/>
  <c r="O906" i="2" s="1"/>
  <c r="G844" i="2"/>
  <c r="O844" i="2" s="1"/>
  <c r="F844" i="2"/>
  <c r="F719" i="2"/>
  <c r="G586" i="2"/>
  <c r="O586" i="2" s="1"/>
  <c r="G502" i="2"/>
  <c r="O502" i="2" s="1"/>
  <c r="F481" i="2"/>
  <c r="G481" i="2"/>
  <c r="O481" i="2" s="1"/>
  <c r="F449" i="2"/>
  <c r="G449" i="2"/>
  <c r="O449" i="2" s="1"/>
  <c r="F380" i="2"/>
  <c r="G380" i="2"/>
  <c r="O380" i="2" s="1"/>
  <c r="G336" i="2"/>
  <c r="O336" i="2" s="1"/>
  <c r="F336" i="2"/>
  <c r="F300" i="2"/>
  <c r="G300" i="2"/>
  <c r="O300" i="2" s="1"/>
  <c r="G242" i="2"/>
  <c r="O242" i="2" s="1"/>
  <c r="F242" i="2"/>
  <c r="F141" i="2"/>
  <c r="G141" i="2"/>
  <c r="O141" i="2" s="1"/>
  <c r="G516" i="2"/>
  <c r="F516" i="2"/>
  <c r="G852" i="2"/>
  <c r="F852" i="2"/>
  <c r="F903" i="2"/>
  <c r="G903" i="2"/>
  <c r="O903" i="2" s="1"/>
  <c r="F859" i="2"/>
  <c r="G859" i="2"/>
  <c r="O859" i="2" s="1"/>
  <c r="F714" i="2"/>
  <c r="G714" i="2"/>
  <c r="O714" i="2" s="1"/>
  <c r="G676" i="2"/>
  <c r="O676" i="2" s="1"/>
  <c r="F676" i="2"/>
  <c r="F442" i="2"/>
  <c r="G442" i="2"/>
  <c r="O442" i="2" s="1"/>
  <c r="F32" i="2"/>
  <c r="G32" i="2"/>
  <c r="O32" i="2" s="1"/>
  <c r="F694" i="2"/>
  <c r="G694" i="2"/>
  <c r="O694" i="2" s="1"/>
  <c r="G976" i="2"/>
  <c r="O976" i="2" s="1"/>
  <c r="F976" i="2"/>
  <c r="F887" i="2"/>
  <c r="G887" i="2"/>
  <c r="O887" i="2" s="1"/>
  <c r="G971" i="2"/>
  <c r="O971" i="2" s="1"/>
  <c r="F971" i="2"/>
  <c r="G955" i="2"/>
  <c r="O955" i="2" s="1"/>
  <c r="F955" i="2"/>
  <c r="O922" i="2"/>
  <c r="O898" i="2"/>
  <c r="F882" i="2"/>
  <c r="G882" i="2"/>
  <c r="O882" i="2" s="1"/>
  <c r="F583" i="2"/>
  <c r="G547" i="2"/>
  <c r="O547" i="2" s="1"/>
  <c r="F547" i="2"/>
  <c r="F257" i="2"/>
  <c r="G257" i="2"/>
  <c r="F78" i="2"/>
  <c r="G78" i="2"/>
  <c r="O78" i="2" s="1"/>
  <c r="G978" i="2"/>
  <c r="O978" i="2" s="1"/>
  <c r="F978" i="2"/>
  <c r="G956" i="2"/>
  <c r="O956" i="2" s="1"/>
  <c r="F956" i="2"/>
  <c r="F926" i="2"/>
  <c r="G926" i="2"/>
  <c r="O926" i="2" s="1"/>
  <c r="O970" i="2"/>
  <c r="F710" i="2"/>
  <c r="G710" i="2"/>
  <c r="O710" i="2" s="1"/>
  <c r="G580" i="2"/>
  <c r="O580" i="2" s="1"/>
  <c r="F580" i="2"/>
  <c r="F534" i="2"/>
  <c r="G534" i="2"/>
  <c r="O534" i="2" s="1"/>
  <c r="O465" i="2"/>
  <c r="F375" i="2"/>
  <c r="G375" i="2"/>
  <c r="O375" i="2" s="1"/>
  <c r="O372" i="2"/>
  <c r="F356" i="2"/>
  <c r="G356" i="2"/>
  <c r="O356" i="2" s="1"/>
  <c r="G652" i="2"/>
  <c r="O652" i="2" s="1"/>
  <c r="F652" i="2"/>
  <c r="F563" i="2"/>
  <c r="G563" i="2"/>
  <c r="O563" i="2" s="1"/>
  <c r="G968" i="2"/>
  <c r="O968" i="2" s="1"/>
  <c r="F968" i="2"/>
  <c r="F895" i="2"/>
  <c r="G875" i="2"/>
  <c r="O875" i="2" s="1"/>
  <c r="G731" i="2"/>
  <c r="O731" i="2" s="1"/>
  <c r="O719" i="2"/>
  <c r="G707" i="2"/>
  <c r="O707" i="2" s="1"/>
  <c r="F707" i="2"/>
  <c r="F640" i="2"/>
  <c r="O607" i="2"/>
  <c r="G576" i="2"/>
  <c r="O576" i="2" s="1"/>
  <c r="F576" i="2"/>
  <c r="G544" i="2"/>
  <c r="O544" i="2" s="1"/>
  <c r="F544" i="2"/>
  <c r="O543" i="2"/>
  <c r="O531" i="2"/>
  <c r="F511" i="2"/>
  <c r="G511" i="2"/>
  <c r="O511" i="2" s="1"/>
  <c r="O252" i="2"/>
  <c r="F16" i="2"/>
  <c r="G16" i="2"/>
  <c r="O16" i="2" s="1"/>
  <c r="G504" i="2"/>
  <c r="F504" i="2"/>
  <c r="F618" i="2"/>
  <c r="G618" i="2"/>
  <c r="O618" i="2" s="1"/>
  <c r="F966" i="2"/>
  <c r="F855" i="2"/>
  <c r="O730" i="2"/>
  <c r="G599" i="2"/>
  <c r="O599" i="2" s="1"/>
  <c r="O575" i="2"/>
  <c r="F540" i="2"/>
  <c r="F394" i="2"/>
  <c r="G394" i="2"/>
  <c r="O394" i="2" s="1"/>
  <c r="F249" i="2"/>
  <c r="G249" i="2"/>
  <c r="O249" i="2" s="1"/>
  <c r="F226" i="2"/>
  <c r="G226" i="2"/>
  <c r="G190" i="2"/>
  <c r="O190" i="2" s="1"/>
  <c r="F190" i="2"/>
  <c r="F667" i="2"/>
  <c r="G667" i="2"/>
  <c r="O667" i="2" s="1"/>
  <c r="F639" i="2"/>
  <c r="G639" i="2"/>
  <c r="O639" i="2" s="1"/>
  <c r="O615" i="2"/>
  <c r="O598" i="2"/>
  <c r="F490" i="2"/>
  <c r="F75" i="2"/>
  <c r="G75" i="2"/>
  <c r="O75" i="2" s="1"/>
  <c r="O663" i="2"/>
  <c r="O635" i="2"/>
  <c r="O490" i="2"/>
  <c r="O360" i="2"/>
  <c r="F305" i="2"/>
  <c r="G305" i="2"/>
  <c r="O304" i="2"/>
  <c r="G962" i="2"/>
  <c r="O962" i="2" s="1"/>
  <c r="F962" i="2"/>
  <c r="F414" i="2"/>
  <c r="G414" i="2"/>
  <c r="O414" i="2" s="1"/>
  <c r="G536" i="2"/>
  <c r="O536" i="2" s="1"/>
  <c r="F536" i="2"/>
  <c r="O966" i="2"/>
  <c r="G963" i="2"/>
  <c r="O963" i="2" s="1"/>
  <c r="F963" i="2"/>
  <c r="F915" i="2"/>
  <c r="G915" i="2"/>
  <c r="O915" i="2" s="1"/>
  <c r="O914" i="2"/>
  <c r="O894" i="2"/>
  <c r="F870" i="2"/>
  <c r="G870" i="2"/>
  <c r="O870" i="2" s="1"/>
  <c r="F847" i="2"/>
  <c r="G847" i="2"/>
  <c r="O847" i="2" s="1"/>
  <c r="F987" i="2"/>
  <c r="G987" i="2"/>
  <c r="O987" i="2" s="1"/>
  <c r="F938" i="2"/>
  <c r="G938" i="2"/>
  <c r="O938" i="2" s="1"/>
  <c r="O866" i="2"/>
  <c r="O699" i="2"/>
  <c r="F662" i="2"/>
  <c r="G662" i="2"/>
  <c r="O662" i="2" s="1"/>
  <c r="G522" i="2"/>
  <c r="O522" i="2" s="1"/>
  <c r="F483" i="2"/>
  <c r="F458" i="2"/>
  <c r="F421" i="2"/>
  <c r="G421" i="2"/>
  <c r="O421" i="2" s="1"/>
  <c r="F383" i="2"/>
  <c r="F186" i="2"/>
  <c r="G186" i="2"/>
  <c r="O122" i="2"/>
  <c r="F69" i="2"/>
  <c r="G69" i="2"/>
  <c r="O69" i="2" s="1"/>
  <c r="O265" i="2"/>
  <c r="O113" i="2"/>
  <c r="G90" i="2"/>
  <c r="O90" i="2" s="1"/>
  <c r="G33" i="2"/>
  <c r="O33" i="2" s="1"/>
  <c r="O958" i="2"/>
  <c r="O854" i="2"/>
  <c r="O539" i="2"/>
  <c r="O515" i="2"/>
  <c r="O437" i="2"/>
  <c r="O410" i="2"/>
  <c r="F352" i="2"/>
  <c r="G331" i="2"/>
  <c r="O331" i="2" s="1"/>
  <c r="F293" i="2"/>
  <c r="O289" i="2"/>
  <c r="G261" i="2"/>
  <c r="O261" i="2" s="1"/>
  <c r="O253" i="2"/>
  <c r="F214" i="2"/>
  <c r="F180" i="2"/>
  <c r="F153" i="2"/>
  <c r="O145" i="2"/>
  <c r="G82" i="2"/>
  <c r="O82" i="2" s="1"/>
  <c r="F73" i="2"/>
  <c r="G59" i="2"/>
  <c r="O59" i="2" s="1"/>
  <c r="O53" i="2"/>
  <c r="O9" i="2"/>
  <c r="O983" i="2"/>
  <c r="F708" i="2"/>
  <c r="F672" i="2"/>
  <c r="G659" i="2"/>
  <c r="O659" i="2" s="1"/>
  <c r="G631" i="2"/>
  <c r="O631" i="2" s="1"/>
  <c r="F579" i="2"/>
  <c r="G566" i="2"/>
  <c r="O566" i="2" s="1"/>
  <c r="G503" i="2"/>
  <c r="O503" i="2" s="1"/>
  <c r="G478" i="2"/>
  <c r="O478" i="2" s="1"/>
  <c r="G384" i="2"/>
  <c r="O384" i="2" s="1"/>
  <c r="G324" i="2"/>
  <c r="O324" i="2" s="1"/>
  <c r="O169" i="2"/>
  <c r="O154" i="2"/>
  <c r="G110" i="2"/>
  <c r="O110" i="2" s="1"/>
  <c r="F57" i="2"/>
  <c r="G48" i="2"/>
  <c r="O48" i="2" s="1"/>
  <c r="F982" i="2"/>
  <c r="F974" i="2"/>
  <c r="F967" i="2"/>
  <c r="F960" i="2"/>
  <c r="G934" i="2"/>
  <c r="O934" i="2" s="1"/>
  <c r="G899" i="2"/>
  <c r="O899" i="2" s="1"/>
  <c r="F892" i="2"/>
  <c r="G878" i="2"/>
  <c r="O878" i="2" s="1"/>
  <c r="G695" i="2"/>
  <c r="O695" i="2" s="1"/>
  <c r="F643" i="2"/>
  <c r="G630" i="2"/>
  <c r="O630" i="2" s="1"/>
  <c r="F588" i="2"/>
  <c r="F524" i="2"/>
  <c r="G401" i="2"/>
  <c r="O401" i="2" s="1"/>
  <c r="G376" i="2"/>
  <c r="O376" i="2" s="1"/>
  <c r="F345" i="2"/>
  <c r="F292" i="2"/>
  <c r="F210" i="2"/>
  <c r="G195" i="2"/>
  <c r="O195" i="2" s="1"/>
  <c r="F176" i="2"/>
  <c r="G142" i="2"/>
  <c r="O142" i="2" s="1"/>
  <c r="G109" i="2"/>
  <c r="O109" i="2" s="1"/>
  <c r="O93" i="2"/>
  <c r="G44" i="2"/>
  <c r="O44" i="2" s="1"/>
  <c r="O911" i="2"/>
  <c r="O890" i="2"/>
  <c r="O734" i="2"/>
  <c r="O690" i="2"/>
  <c r="O603" i="2"/>
  <c r="O526" i="2"/>
  <c r="O499" i="2"/>
  <c r="O474" i="2"/>
  <c r="O453" i="2"/>
  <c r="O149" i="2"/>
  <c r="O117" i="2"/>
  <c r="G28" i="2"/>
  <c r="O28" i="2" s="1"/>
  <c r="O964" i="2"/>
  <c r="G927" i="2"/>
  <c r="O927" i="2" s="1"/>
  <c r="G910" i="2"/>
  <c r="O910" i="2" s="1"/>
  <c r="G871" i="2"/>
  <c r="O871" i="2" s="1"/>
  <c r="G554" i="2"/>
  <c r="O554" i="2" s="1"/>
  <c r="G485" i="2"/>
  <c r="O485" i="2" s="1"/>
  <c r="O348" i="2"/>
  <c r="F316" i="2"/>
  <c r="G301" i="2"/>
  <c r="O301" i="2" s="1"/>
  <c r="F273" i="2"/>
  <c r="F36" i="2"/>
  <c r="F9" i="2"/>
  <c r="O974" i="2"/>
  <c r="O210" i="2"/>
  <c r="G25" i="2"/>
  <c r="O25" i="2" s="1"/>
  <c r="G24" i="2"/>
  <c r="O24" i="2" s="1"/>
  <c r="G952" i="2"/>
  <c r="O952" i="2" s="1"/>
  <c r="F952" i="2"/>
  <c r="F946" i="2"/>
  <c r="G946" i="2"/>
  <c r="O946" i="2" s="1"/>
  <c r="F762" i="2"/>
  <c r="G762" i="2"/>
  <c r="O762" i="2" s="1"/>
  <c r="F619" i="2"/>
  <c r="G619" i="2"/>
  <c r="O619" i="2" s="1"/>
  <c r="G611" i="2"/>
  <c r="O611" i="2" s="1"/>
  <c r="F611" i="2"/>
  <c r="F602" i="2"/>
  <c r="G602" i="2"/>
  <c r="O602" i="2" s="1"/>
  <c r="G596" i="2"/>
  <c r="F596" i="2"/>
  <c r="F555" i="2"/>
  <c r="G555" i="2"/>
  <c r="O555" i="2" s="1"/>
  <c r="F951" i="2"/>
  <c r="G951" i="2"/>
  <c r="O951" i="2" s="1"/>
  <c r="F950" i="2"/>
  <c r="G950" i="2"/>
  <c r="O950" i="2" s="1"/>
  <c r="G940" i="2"/>
  <c r="O940" i="2" s="1"/>
  <c r="F940" i="2"/>
  <c r="F830" i="2"/>
  <c r="G830" i="2"/>
  <c r="O830" i="2" s="1"/>
  <c r="F815" i="2"/>
  <c r="G815" i="2"/>
  <c r="O815" i="2" s="1"/>
  <c r="G804" i="2"/>
  <c r="O804" i="2" s="1"/>
  <c r="F804" i="2"/>
  <c r="F782" i="2"/>
  <c r="G782" i="2"/>
  <c r="O782" i="2" s="1"/>
  <c r="G772" i="2"/>
  <c r="O772" i="2" s="1"/>
  <c r="F772" i="2"/>
  <c r="F766" i="2"/>
  <c r="G766" i="2"/>
  <c r="O766" i="2" s="1"/>
  <c r="F751" i="2"/>
  <c r="G751" i="2"/>
  <c r="O751" i="2" s="1"/>
  <c r="F750" i="2"/>
  <c r="G750" i="2"/>
  <c r="O750" i="2" s="1"/>
  <c r="F735" i="2"/>
  <c r="G735" i="2"/>
  <c r="O735" i="2" s="1"/>
  <c r="F722" i="2"/>
  <c r="G722" i="2"/>
  <c r="O722" i="2" s="1"/>
  <c r="F495" i="2"/>
  <c r="G495" i="2"/>
  <c r="O495" i="2" s="1"/>
  <c r="F494" i="2"/>
  <c r="G494" i="2"/>
  <c r="O494" i="2" s="1"/>
  <c r="F489" i="2"/>
  <c r="G489" i="2"/>
  <c r="O489" i="2" s="1"/>
  <c r="F441" i="2"/>
  <c r="G441" i="2"/>
  <c r="O441" i="2" s="1"/>
  <c r="F438" i="2"/>
  <c r="G438" i="2"/>
  <c r="O438" i="2" s="1"/>
  <c r="F203" i="2"/>
  <c r="G203" i="2"/>
  <c r="O203" i="2" s="1"/>
  <c r="F179" i="2"/>
  <c r="G179" i="2"/>
  <c r="O179" i="2" s="1"/>
  <c r="O967" i="2"/>
  <c r="F954" i="2"/>
  <c r="G954" i="2"/>
  <c r="O954" i="2" s="1"/>
  <c r="G944" i="2"/>
  <c r="O944" i="2" s="1"/>
  <c r="F944" i="2"/>
  <c r="F939" i="2"/>
  <c r="G939" i="2"/>
  <c r="O939" i="2" s="1"/>
  <c r="G840" i="2"/>
  <c r="O840" i="2" s="1"/>
  <c r="F840" i="2"/>
  <c r="F835" i="2"/>
  <c r="G835" i="2"/>
  <c r="O835" i="2" s="1"/>
  <c r="F834" i="2"/>
  <c r="G834" i="2"/>
  <c r="O834" i="2" s="1"/>
  <c r="G824" i="2"/>
  <c r="O824" i="2" s="1"/>
  <c r="F824" i="2"/>
  <c r="F819" i="2"/>
  <c r="G819" i="2"/>
  <c r="O819" i="2" s="1"/>
  <c r="F818" i="2"/>
  <c r="G818" i="2"/>
  <c r="O818" i="2" s="1"/>
  <c r="G808" i="2"/>
  <c r="O808" i="2" s="1"/>
  <c r="F808" i="2"/>
  <c r="F803" i="2"/>
  <c r="G803" i="2"/>
  <c r="O803" i="2" s="1"/>
  <c r="F802" i="2"/>
  <c r="G802" i="2"/>
  <c r="O802" i="2" s="1"/>
  <c r="G792" i="2"/>
  <c r="O792" i="2" s="1"/>
  <c r="F792" i="2"/>
  <c r="F787" i="2"/>
  <c r="G787" i="2"/>
  <c r="O787" i="2" s="1"/>
  <c r="F786" i="2"/>
  <c r="G786" i="2"/>
  <c r="O786" i="2" s="1"/>
  <c r="G776" i="2"/>
  <c r="O776" i="2" s="1"/>
  <c r="F776" i="2"/>
  <c r="F771" i="2"/>
  <c r="G771" i="2"/>
  <c r="O771" i="2" s="1"/>
  <c r="F770" i="2"/>
  <c r="G770" i="2"/>
  <c r="O770" i="2" s="1"/>
  <c r="G760" i="2"/>
  <c r="O760" i="2" s="1"/>
  <c r="F760" i="2"/>
  <c r="F755" i="2"/>
  <c r="G755" i="2"/>
  <c r="O755" i="2" s="1"/>
  <c r="F754" i="2"/>
  <c r="G754" i="2"/>
  <c r="O754" i="2" s="1"/>
  <c r="G744" i="2"/>
  <c r="O744" i="2" s="1"/>
  <c r="F744" i="2"/>
  <c r="F739" i="2"/>
  <c r="G739" i="2"/>
  <c r="O739" i="2" s="1"/>
  <c r="F738" i="2"/>
  <c r="G738" i="2"/>
  <c r="O738" i="2" s="1"/>
  <c r="G680" i="2"/>
  <c r="O680" i="2" s="1"/>
  <c r="F680" i="2"/>
  <c r="F678" i="2"/>
  <c r="G678" i="2"/>
  <c r="O678" i="2" s="1"/>
  <c r="G656" i="2"/>
  <c r="O656" i="2" s="1"/>
  <c r="F656" i="2"/>
  <c r="F655" i="2"/>
  <c r="G655" i="2"/>
  <c r="O655" i="2" s="1"/>
  <c r="G616" i="2"/>
  <c r="O616" i="2" s="1"/>
  <c r="F616" i="2"/>
  <c r="F614" i="2"/>
  <c r="G614" i="2"/>
  <c r="O614" i="2" s="1"/>
  <c r="G592" i="2"/>
  <c r="O592" i="2" s="1"/>
  <c r="F592" i="2"/>
  <c r="F591" i="2"/>
  <c r="G591" i="2"/>
  <c r="O591" i="2" s="1"/>
  <c r="G552" i="2"/>
  <c r="O552" i="2" s="1"/>
  <c r="F552" i="2"/>
  <c r="G385" i="2"/>
  <c r="F385" i="2"/>
  <c r="G240" i="2"/>
  <c r="O240" i="2" s="1"/>
  <c r="F240" i="2"/>
  <c r="G184" i="2"/>
  <c r="O184" i="2" s="1"/>
  <c r="F184" i="2"/>
  <c r="F947" i="2"/>
  <c r="G947" i="2"/>
  <c r="O947" i="2" s="1"/>
  <c r="F843" i="2"/>
  <c r="G843" i="2"/>
  <c r="O843" i="2" s="1"/>
  <c r="F842" i="2"/>
  <c r="G842" i="2"/>
  <c r="O842" i="2" s="1"/>
  <c r="G832" i="2"/>
  <c r="O832" i="2" s="1"/>
  <c r="F832" i="2"/>
  <c r="F827" i="2"/>
  <c r="G827" i="2"/>
  <c r="O827" i="2" s="1"/>
  <c r="F826" i="2"/>
  <c r="G826" i="2"/>
  <c r="O826" i="2" s="1"/>
  <c r="G816" i="2"/>
  <c r="O816" i="2" s="1"/>
  <c r="F816" i="2"/>
  <c r="F811" i="2"/>
  <c r="G811" i="2"/>
  <c r="O811" i="2" s="1"/>
  <c r="F810" i="2"/>
  <c r="G810" i="2"/>
  <c r="O810" i="2" s="1"/>
  <c r="G800" i="2"/>
  <c r="O800" i="2" s="1"/>
  <c r="F800" i="2"/>
  <c r="F795" i="2"/>
  <c r="G795" i="2"/>
  <c r="O795" i="2" s="1"/>
  <c r="F794" i="2"/>
  <c r="G794" i="2"/>
  <c r="O794" i="2" s="1"/>
  <c r="G784" i="2"/>
  <c r="O784" i="2" s="1"/>
  <c r="F784" i="2"/>
  <c r="F779" i="2"/>
  <c r="G779" i="2"/>
  <c r="O779" i="2" s="1"/>
  <c r="F778" i="2"/>
  <c r="G778" i="2"/>
  <c r="O778" i="2" s="1"/>
  <c r="G768" i="2"/>
  <c r="O768" i="2" s="1"/>
  <c r="F768" i="2"/>
  <c r="F763" i="2"/>
  <c r="G763" i="2"/>
  <c r="O763" i="2" s="1"/>
  <c r="G752" i="2"/>
  <c r="O752" i="2" s="1"/>
  <c r="F752" i="2"/>
  <c r="F747" i="2"/>
  <c r="G747" i="2"/>
  <c r="O747" i="2" s="1"/>
  <c r="F746" i="2"/>
  <c r="G746" i="2"/>
  <c r="O746" i="2" s="1"/>
  <c r="G736" i="2"/>
  <c r="O736" i="2" s="1"/>
  <c r="F736" i="2"/>
  <c r="G684" i="2"/>
  <c r="O684" i="2" s="1"/>
  <c r="F684" i="2"/>
  <c r="F683" i="2"/>
  <c r="G683" i="2"/>
  <c r="O683" i="2" s="1"/>
  <c r="G675" i="2"/>
  <c r="O675" i="2" s="1"/>
  <c r="F675" i="2"/>
  <c r="F666" i="2"/>
  <c r="G666" i="2"/>
  <c r="O666" i="2" s="1"/>
  <c r="G660" i="2"/>
  <c r="O660" i="2" s="1"/>
  <c r="F660" i="2"/>
  <c r="G620" i="2"/>
  <c r="O620" i="2" s="1"/>
  <c r="F620" i="2"/>
  <c r="G556" i="2"/>
  <c r="O556" i="2" s="1"/>
  <c r="F556" i="2"/>
  <c r="F450" i="2"/>
  <c r="G450" i="2"/>
  <c r="O450" i="2" s="1"/>
  <c r="F429" i="2"/>
  <c r="G429" i="2"/>
  <c r="O429" i="2" s="1"/>
  <c r="G363" i="2"/>
  <c r="O363" i="2" s="1"/>
  <c r="F363" i="2"/>
  <c r="F21" i="2"/>
  <c r="G21" i="2"/>
  <c r="O21" i="2" s="1"/>
  <c r="G836" i="2"/>
  <c r="O836" i="2" s="1"/>
  <c r="F836" i="2"/>
  <c r="F831" i="2"/>
  <c r="G831" i="2"/>
  <c r="O831" i="2" s="1"/>
  <c r="G820" i="2"/>
  <c r="O820" i="2" s="1"/>
  <c r="F820" i="2"/>
  <c r="F814" i="2"/>
  <c r="G814" i="2"/>
  <c r="O814" i="2" s="1"/>
  <c r="F799" i="2"/>
  <c r="G799" i="2"/>
  <c r="O799" i="2" s="1"/>
  <c r="F798" i="2"/>
  <c r="G798" i="2"/>
  <c r="O798" i="2" s="1"/>
  <c r="G788" i="2"/>
  <c r="O788" i="2" s="1"/>
  <c r="F788" i="2"/>
  <c r="F783" i="2"/>
  <c r="G783" i="2"/>
  <c r="O783" i="2" s="1"/>
  <c r="F767" i="2"/>
  <c r="G767" i="2"/>
  <c r="O767" i="2" s="1"/>
  <c r="G756" i="2"/>
  <c r="O756" i="2" s="1"/>
  <c r="F756" i="2"/>
  <c r="G740" i="2"/>
  <c r="O740" i="2" s="1"/>
  <c r="F740" i="2"/>
  <c r="F718" i="2"/>
  <c r="G718" i="2"/>
  <c r="O718" i="2" s="1"/>
  <c r="F530" i="2"/>
  <c r="G530" i="2"/>
  <c r="O530" i="2" s="1"/>
  <c r="G496" i="2"/>
  <c r="O496" i="2" s="1"/>
  <c r="F496" i="2"/>
  <c r="F473" i="2"/>
  <c r="G473" i="2"/>
  <c r="O473" i="2" s="1"/>
  <c r="G68" i="2"/>
  <c r="O68" i="2" s="1"/>
  <c r="F68" i="2"/>
  <c r="F980" i="2"/>
  <c r="O979" i="2"/>
  <c r="F975" i="2"/>
  <c r="F970" i="2"/>
  <c r="F964" i="2"/>
  <c r="F959" i="2"/>
  <c r="G948" i="2"/>
  <c r="O948" i="2" s="1"/>
  <c r="F948" i="2"/>
  <c r="F943" i="2"/>
  <c r="G943" i="2"/>
  <c r="O943" i="2" s="1"/>
  <c r="F942" i="2"/>
  <c r="G942" i="2"/>
  <c r="O942" i="2" s="1"/>
  <c r="F839" i="2"/>
  <c r="G839" i="2"/>
  <c r="O839" i="2" s="1"/>
  <c r="F838" i="2"/>
  <c r="G838" i="2"/>
  <c r="O838" i="2" s="1"/>
  <c r="G828" i="2"/>
  <c r="O828" i="2" s="1"/>
  <c r="F828" i="2"/>
  <c r="F823" i="2"/>
  <c r="G823" i="2"/>
  <c r="O823" i="2" s="1"/>
  <c r="F822" i="2"/>
  <c r="G822" i="2"/>
  <c r="O822" i="2" s="1"/>
  <c r="G812" i="2"/>
  <c r="O812" i="2" s="1"/>
  <c r="F812" i="2"/>
  <c r="F807" i="2"/>
  <c r="G807" i="2"/>
  <c r="O807" i="2" s="1"/>
  <c r="F806" i="2"/>
  <c r="G806" i="2"/>
  <c r="O806" i="2" s="1"/>
  <c r="G796" i="2"/>
  <c r="O796" i="2" s="1"/>
  <c r="F796" i="2"/>
  <c r="F791" i="2"/>
  <c r="G791" i="2"/>
  <c r="O791" i="2" s="1"/>
  <c r="F790" i="2"/>
  <c r="G790" i="2"/>
  <c r="O790" i="2" s="1"/>
  <c r="G780" i="2"/>
  <c r="O780" i="2" s="1"/>
  <c r="F780" i="2"/>
  <c r="F775" i="2"/>
  <c r="G775" i="2"/>
  <c r="O775" i="2" s="1"/>
  <c r="F774" i="2"/>
  <c r="G774" i="2"/>
  <c r="O774" i="2" s="1"/>
  <c r="G764" i="2"/>
  <c r="O764" i="2" s="1"/>
  <c r="F764" i="2"/>
  <c r="F759" i="2"/>
  <c r="G759" i="2"/>
  <c r="O759" i="2" s="1"/>
  <c r="F758" i="2"/>
  <c r="G758" i="2"/>
  <c r="O758" i="2" s="1"/>
  <c r="G748" i="2"/>
  <c r="O748" i="2" s="1"/>
  <c r="F748" i="2"/>
  <c r="F743" i="2"/>
  <c r="G743" i="2"/>
  <c r="O743" i="2" s="1"/>
  <c r="F742" i="2"/>
  <c r="G742" i="2"/>
  <c r="O742" i="2" s="1"/>
  <c r="G728" i="2"/>
  <c r="O728" i="2" s="1"/>
  <c r="F728" i="2"/>
  <c r="G727" i="2"/>
  <c r="O727" i="2" s="1"/>
  <c r="F725" i="2"/>
  <c r="F724" i="2"/>
  <c r="G670" i="2"/>
  <c r="O670" i="2" s="1"/>
  <c r="G606" i="2"/>
  <c r="O606" i="2" s="1"/>
  <c r="F425" i="2"/>
  <c r="G425" i="2"/>
  <c r="O425" i="2" s="1"/>
  <c r="F422" i="2"/>
  <c r="G422" i="2"/>
  <c r="O422" i="2" s="1"/>
  <c r="F413" i="2"/>
  <c r="G413" i="2"/>
  <c r="O413" i="2" s="1"/>
  <c r="F409" i="2"/>
  <c r="G409" i="2"/>
  <c r="O409" i="2" s="1"/>
  <c r="F402" i="2"/>
  <c r="G402" i="2"/>
  <c r="O402" i="2" s="1"/>
  <c r="F390" i="2"/>
  <c r="G390" i="2"/>
  <c r="O390" i="2" s="1"/>
  <c r="O988" i="2"/>
  <c r="F936" i="2"/>
  <c r="F932" i="2"/>
  <c r="F928" i="2"/>
  <c r="F924" i="2"/>
  <c r="F920" i="2"/>
  <c r="F916" i="2"/>
  <c r="F912" i="2"/>
  <c r="F908" i="2"/>
  <c r="F904" i="2"/>
  <c r="F900" i="2"/>
  <c r="O896" i="2"/>
  <c r="O892" i="2"/>
  <c r="F888" i="2"/>
  <c r="F884" i="2"/>
  <c r="F880" i="2"/>
  <c r="F876" i="2"/>
  <c r="F872" i="2"/>
  <c r="F868" i="2"/>
  <c r="F864" i="2"/>
  <c r="F860" i="2"/>
  <c r="G723" i="2"/>
  <c r="O723" i="2" s="1"/>
  <c r="F720" i="2"/>
  <c r="F715" i="2"/>
  <c r="F712" i="2"/>
  <c r="G702" i="2"/>
  <c r="O702" i="2" s="1"/>
  <c r="F679" i="2"/>
  <c r="G658" i="2"/>
  <c r="O658" i="2" s="1"/>
  <c r="O643" i="2"/>
  <c r="G638" i="2"/>
  <c r="O638" i="2" s="1"/>
  <c r="F615" i="2"/>
  <c r="G594" i="2"/>
  <c r="O594" i="2" s="1"/>
  <c r="O579" i="2"/>
  <c r="G574" i="2"/>
  <c r="O574" i="2" s="1"/>
  <c r="G551" i="2"/>
  <c r="O551" i="2" s="1"/>
  <c r="F551" i="2"/>
  <c r="F466" i="2"/>
  <c r="G466" i="2"/>
  <c r="O466" i="2" s="1"/>
  <c r="F454" i="2"/>
  <c r="G454" i="2"/>
  <c r="O454" i="2" s="1"/>
  <c r="G419" i="2"/>
  <c r="O419" i="2" s="1"/>
  <c r="F419" i="2"/>
  <c r="F418" i="2"/>
  <c r="G418" i="2"/>
  <c r="O418" i="2" s="1"/>
  <c r="F359" i="2"/>
  <c r="G359" i="2"/>
  <c r="O359" i="2" s="1"/>
  <c r="F351" i="2"/>
  <c r="G351" i="2"/>
  <c r="O351" i="2" s="1"/>
  <c r="G343" i="2"/>
  <c r="O343" i="2" s="1"/>
  <c r="F323" i="2"/>
  <c r="G323" i="2"/>
  <c r="O323" i="2" s="1"/>
  <c r="F308" i="2"/>
  <c r="G308" i="2"/>
  <c r="O308" i="2" s="1"/>
  <c r="F187" i="2"/>
  <c r="G187" i="2"/>
  <c r="O187" i="2" s="1"/>
  <c r="G170" i="2"/>
  <c r="O170" i="2" s="1"/>
  <c r="F170" i="2"/>
  <c r="G130" i="2"/>
  <c r="O130" i="2" s="1"/>
  <c r="F130" i="2"/>
  <c r="G98" i="2"/>
  <c r="O98" i="2" s="1"/>
  <c r="F98" i="2"/>
  <c r="F97" i="2"/>
  <c r="G97" i="2"/>
  <c r="O97" i="2" s="1"/>
  <c r="O936" i="2"/>
  <c r="O932" i="2"/>
  <c r="O928" i="2"/>
  <c r="O924" i="2"/>
  <c r="O920" i="2"/>
  <c r="O916" i="2"/>
  <c r="O912" i="2"/>
  <c r="O908" i="2"/>
  <c r="O904" i="2"/>
  <c r="O900" i="2"/>
  <c r="O888" i="2"/>
  <c r="O884" i="2"/>
  <c r="O880" i="2"/>
  <c r="O876" i="2"/>
  <c r="O872" i="2"/>
  <c r="O868" i="2"/>
  <c r="O864" i="2"/>
  <c r="O860" i="2"/>
  <c r="O856" i="2"/>
  <c r="O852" i="2"/>
  <c r="O848" i="2"/>
  <c r="G732" i="2"/>
  <c r="O732" i="2" s="1"/>
  <c r="F732" i="2"/>
  <c r="O715" i="2"/>
  <c r="F698" i="2"/>
  <c r="G698" i="2"/>
  <c r="O698" i="2" s="1"/>
  <c r="G692" i="2"/>
  <c r="O692" i="2" s="1"/>
  <c r="F692" i="2"/>
  <c r="G688" i="2"/>
  <c r="O688" i="2" s="1"/>
  <c r="F688" i="2"/>
  <c r="F687" i="2"/>
  <c r="G687" i="2"/>
  <c r="O687" i="2" s="1"/>
  <c r="F651" i="2"/>
  <c r="G651" i="2"/>
  <c r="O651" i="2" s="1"/>
  <c r="F646" i="2"/>
  <c r="G646" i="2"/>
  <c r="O646" i="2" s="1"/>
  <c r="F634" i="2"/>
  <c r="G634" i="2"/>
  <c r="O634" i="2" s="1"/>
  <c r="G628" i="2"/>
  <c r="O628" i="2" s="1"/>
  <c r="F628" i="2"/>
  <c r="G624" i="2"/>
  <c r="O624" i="2" s="1"/>
  <c r="F624" i="2"/>
  <c r="F623" i="2"/>
  <c r="G623" i="2"/>
  <c r="O623" i="2" s="1"/>
  <c r="F587" i="2"/>
  <c r="G587" i="2"/>
  <c r="O587" i="2" s="1"/>
  <c r="F582" i="2"/>
  <c r="G582" i="2"/>
  <c r="O582" i="2" s="1"/>
  <c r="F570" i="2"/>
  <c r="G570" i="2"/>
  <c r="O570" i="2" s="1"/>
  <c r="G564" i="2"/>
  <c r="O564" i="2" s="1"/>
  <c r="F564" i="2"/>
  <c r="G560" i="2"/>
  <c r="O560" i="2" s="1"/>
  <c r="F560" i="2"/>
  <c r="F559" i="2"/>
  <c r="G559" i="2"/>
  <c r="O559" i="2" s="1"/>
  <c r="F542" i="2"/>
  <c r="G542" i="2"/>
  <c r="O542" i="2" s="1"/>
  <c r="G519" i="2"/>
  <c r="O519" i="2" s="1"/>
  <c r="F519" i="2"/>
  <c r="G435" i="2"/>
  <c r="O435" i="2" s="1"/>
  <c r="F435" i="2"/>
  <c r="F434" i="2"/>
  <c r="G434" i="2"/>
  <c r="O434" i="2" s="1"/>
  <c r="F347" i="2"/>
  <c r="G347" i="2"/>
  <c r="O347" i="2" s="1"/>
  <c r="F335" i="2"/>
  <c r="G335" i="2"/>
  <c r="O335" i="2" s="1"/>
  <c r="G256" i="2"/>
  <c r="O256" i="2" s="1"/>
  <c r="F256" i="2"/>
  <c r="G230" i="2"/>
  <c r="O230" i="2" s="1"/>
  <c r="F230" i="2"/>
  <c r="G706" i="2"/>
  <c r="O706" i="2" s="1"/>
  <c r="F700" i="2"/>
  <c r="F696" i="2"/>
  <c r="G686" i="2"/>
  <c r="O686" i="2" s="1"/>
  <c r="G674" i="2"/>
  <c r="O674" i="2" s="1"/>
  <c r="F668" i="2"/>
  <c r="F664" i="2"/>
  <c r="G654" i="2"/>
  <c r="O654" i="2" s="1"/>
  <c r="G642" i="2"/>
  <c r="O642" i="2" s="1"/>
  <c r="F636" i="2"/>
  <c r="F632" i="2"/>
  <c r="G622" i="2"/>
  <c r="O622" i="2" s="1"/>
  <c r="G610" i="2"/>
  <c r="O610" i="2" s="1"/>
  <c r="F604" i="2"/>
  <c r="F600" i="2"/>
  <c r="G590" i="2"/>
  <c r="O590" i="2" s="1"/>
  <c r="G578" i="2"/>
  <c r="O578" i="2" s="1"/>
  <c r="F572" i="2"/>
  <c r="F568" i="2"/>
  <c r="G558" i="2"/>
  <c r="O558" i="2" s="1"/>
  <c r="F550" i="2"/>
  <c r="G550" i="2"/>
  <c r="O550" i="2" s="1"/>
  <c r="F538" i="2"/>
  <c r="G538" i="2"/>
  <c r="O538" i="2" s="1"/>
  <c r="G532" i="2"/>
  <c r="O532" i="2" s="1"/>
  <c r="F532" i="2"/>
  <c r="G528" i="2"/>
  <c r="O528" i="2" s="1"/>
  <c r="F528" i="2"/>
  <c r="F527" i="2"/>
  <c r="G527" i="2"/>
  <c r="O527" i="2" s="1"/>
  <c r="F523" i="2"/>
  <c r="G523" i="2"/>
  <c r="O523" i="2" s="1"/>
  <c r="F518" i="2"/>
  <c r="G518" i="2"/>
  <c r="O518" i="2" s="1"/>
  <c r="G498" i="2"/>
  <c r="O498" i="2" s="1"/>
  <c r="F486" i="2"/>
  <c r="G486" i="2"/>
  <c r="O486" i="2" s="1"/>
  <c r="F482" i="2"/>
  <c r="G482" i="2"/>
  <c r="O482" i="2" s="1"/>
  <c r="F470" i="2"/>
  <c r="G470" i="2"/>
  <c r="O470" i="2" s="1"/>
  <c r="F467" i="2"/>
  <c r="G461" i="2"/>
  <c r="O461" i="2" s="1"/>
  <c r="F451" i="2"/>
  <c r="G445" i="2"/>
  <c r="O445" i="2" s="1"/>
  <c r="F406" i="2"/>
  <c r="G406" i="2"/>
  <c r="O406" i="2" s="1"/>
  <c r="F403" i="2"/>
  <c r="G397" i="2"/>
  <c r="O397" i="2" s="1"/>
  <c r="O387" i="2"/>
  <c r="O383" i="2"/>
  <c r="F369" i="2"/>
  <c r="O368" i="2"/>
  <c r="G355" i="2"/>
  <c r="O355" i="2" s="1"/>
  <c r="F348" i="2"/>
  <c r="F340" i="2"/>
  <c r="G340" i="2"/>
  <c r="O340" i="2" s="1"/>
  <c r="F337" i="2"/>
  <c r="O316" i="2"/>
  <c r="G311" i="2"/>
  <c r="O311" i="2" s="1"/>
  <c r="F288" i="2"/>
  <c r="F239" i="2"/>
  <c r="G239" i="2"/>
  <c r="O239" i="2" s="1"/>
  <c r="G208" i="2"/>
  <c r="O208" i="2" s="1"/>
  <c r="F208" i="2"/>
  <c r="F204" i="2"/>
  <c r="F198" i="2"/>
  <c r="G198" i="2"/>
  <c r="O198" i="2" s="1"/>
  <c r="F183" i="2"/>
  <c r="G183" i="2"/>
  <c r="O183" i="2" s="1"/>
  <c r="F174" i="2"/>
  <c r="G174" i="2"/>
  <c r="O174" i="2" s="1"/>
  <c r="G126" i="2"/>
  <c r="O126" i="2" s="1"/>
  <c r="F126" i="2"/>
  <c r="F506" i="2"/>
  <c r="G506" i="2"/>
  <c r="O506" i="2" s="1"/>
  <c r="G500" i="2"/>
  <c r="O500" i="2" s="1"/>
  <c r="F500" i="2"/>
  <c r="F457" i="2"/>
  <c r="G457" i="2"/>
  <c r="O457" i="2" s="1"/>
  <c r="F393" i="2"/>
  <c r="G393" i="2"/>
  <c r="O393" i="2" s="1"/>
  <c r="F367" i="2"/>
  <c r="G367" i="2"/>
  <c r="O367" i="2" s="1"/>
  <c r="G329" i="2"/>
  <c r="O329" i="2" s="1"/>
  <c r="F329" i="2"/>
  <c r="F328" i="2"/>
  <c r="G328" i="2"/>
  <c r="O328" i="2" s="1"/>
  <c r="F315" i="2"/>
  <c r="G315" i="2"/>
  <c r="O315" i="2" s="1"/>
  <c r="F297" i="2"/>
  <c r="G297" i="2"/>
  <c r="O297" i="2" s="1"/>
  <c r="F296" i="2"/>
  <c r="G296" i="2"/>
  <c r="O296" i="2" s="1"/>
  <c r="O288" i="2"/>
  <c r="O285" i="2"/>
  <c r="F277" i="2"/>
  <c r="G277" i="2"/>
  <c r="O277" i="2" s="1"/>
  <c r="F276" i="2"/>
  <c r="G276" i="2"/>
  <c r="O276" i="2" s="1"/>
  <c r="F272" i="2"/>
  <c r="G272" i="2"/>
  <c r="O272" i="2" s="1"/>
  <c r="F241" i="2"/>
  <c r="G241" i="2"/>
  <c r="O241" i="2" s="1"/>
  <c r="F234" i="2"/>
  <c r="G234" i="2"/>
  <c r="O234" i="2" s="1"/>
  <c r="G212" i="2"/>
  <c r="O212" i="2" s="1"/>
  <c r="F212" i="2"/>
  <c r="F207" i="2"/>
  <c r="G207" i="2"/>
  <c r="O207" i="2" s="1"/>
  <c r="G188" i="2"/>
  <c r="O188" i="2" s="1"/>
  <c r="F188" i="2"/>
  <c r="G72" i="2"/>
  <c r="O72" i="2" s="1"/>
  <c r="F72" i="2"/>
  <c r="O546" i="2"/>
  <c r="G514" i="2"/>
  <c r="O514" i="2" s="1"/>
  <c r="F508" i="2"/>
  <c r="F475" i="2"/>
  <c r="G469" i="2"/>
  <c r="O469" i="2" s="1"/>
  <c r="O462" i="2"/>
  <c r="F459" i="2"/>
  <c r="O446" i="2"/>
  <c r="F443" i="2"/>
  <c r="O430" i="2"/>
  <c r="F427" i="2"/>
  <c r="F411" i="2"/>
  <c r="G405" i="2"/>
  <c r="O405" i="2" s="1"/>
  <c r="O398" i="2"/>
  <c r="F395" i="2"/>
  <c r="G389" i="2"/>
  <c r="O389" i="2" s="1"/>
  <c r="F373" i="2"/>
  <c r="G339" i="2"/>
  <c r="O339" i="2" s="1"/>
  <c r="G327" i="2"/>
  <c r="O327" i="2" s="1"/>
  <c r="F321" i="2"/>
  <c r="G307" i="2"/>
  <c r="O307" i="2" s="1"/>
  <c r="O305" i="2"/>
  <c r="O257" i="2"/>
  <c r="O243" i="2"/>
  <c r="G228" i="2"/>
  <c r="O228" i="2" s="1"/>
  <c r="F228" i="2"/>
  <c r="F224" i="2"/>
  <c r="F169" i="2"/>
  <c r="G159" i="2"/>
  <c r="O159" i="2" s="1"/>
  <c r="F159" i="2"/>
  <c r="G125" i="2"/>
  <c r="O125" i="2" s="1"/>
  <c r="F125" i="2"/>
  <c r="F102" i="2"/>
  <c r="G102" i="2"/>
  <c r="O102" i="2" s="1"/>
  <c r="F101" i="2"/>
  <c r="G101" i="2"/>
  <c r="O101" i="2" s="1"/>
  <c r="G94" i="2"/>
  <c r="O94" i="2" s="1"/>
  <c r="F94" i="2"/>
  <c r="F56" i="2"/>
  <c r="F45" i="2"/>
  <c r="G45" i="2"/>
  <c r="O45" i="2" s="1"/>
  <c r="G13" i="2"/>
  <c r="O13" i="2" s="1"/>
  <c r="F13" i="2"/>
  <c r="O332" i="2"/>
  <c r="F227" i="2"/>
  <c r="G227" i="2"/>
  <c r="O227" i="2" s="1"/>
  <c r="F218" i="2"/>
  <c r="G218" i="2"/>
  <c r="O218" i="2" s="1"/>
  <c r="F194" i="2"/>
  <c r="G194" i="2"/>
  <c r="O194" i="2" s="1"/>
  <c r="F138" i="2"/>
  <c r="G138" i="2"/>
  <c r="O138" i="2" s="1"/>
  <c r="G65" i="2"/>
  <c r="O65" i="2" s="1"/>
  <c r="F65" i="2"/>
  <c r="F63" i="2"/>
  <c r="G63" i="2"/>
  <c r="O63" i="2" s="1"/>
  <c r="O245" i="2"/>
  <c r="F232" i="2"/>
  <c r="G231" i="2"/>
  <c r="O231" i="2" s="1"/>
  <c r="O226" i="2"/>
  <c r="F216" i="2"/>
  <c r="G215" i="2"/>
  <c r="O215" i="2" s="1"/>
  <c r="G211" i="2"/>
  <c r="O211" i="2" s="1"/>
  <c r="O206" i="2"/>
  <c r="O200" i="2"/>
  <c r="F196" i="2"/>
  <c r="F192" i="2"/>
  <c r="G191" i="2"/>
  <c r="O191" i="2" s="1"/>
  <c r="O186" i="2"/>
  <c r="O180" i="2"/>
  <c r="F172" i="2"/>
  <c r="G171" i="2"/>
  <c r="O171" i="2" s="1"/>
  <c r="F167" i="2"/>
  <c r="F166" i="2"/>
  <c r="G166" i="2"/>
  <c r="O166" i="2" s="1"/>
  <c r="F162" i="2"/>
  <c r="O158" i="2"/>
  <c r="O153" i="2"/>
  <c r="O150" i="2"/>
  <c r="F134" i="2"/>
  <c r="G134" i="2"/>
  <c r="O134" i="2" s="1"/>
  <c r="F133" i="2"/>
  <c r="G133" i="2"/>
  <c r="O133" i="2" s="1"/>
  <c r="F129" i="2"/>
  <c r="G129" i="2"/>
  <c r="O129" i="2" s="1"/>
  <c r="F121" i="2"/>
  <c r="F93" i="2"/>
  <c r="O89" i="2"/>
  <c r="O86" i="2"/>
  <c r="F70" i="2"/>
  <c r="F64" i="2"/>
  <c r="F12" i="2"/>
  <c r="G12" i="2"/>
  <c r="O12" i="2" s="1"/>
  <c r="O238" i="2"/>
  <c r="O232" i="2"/>
  <c r="O222" i="2"/>
  <c r="O216" i="2"/>
  <c r="O202" i="2"/>
  <c r="O196" i="2"/>
  <c r="O182" i="2"/>
  <c r="O178" i="2"/>
  <c r="F157" i="2"/>
  <c r="G157" i="2"/>
  <c r="O157" i="2" s="1"/>
  <c r="O121" i="2"/>
  <c r="O118" i="2"/>
  <c r="F106" i="2"/>
  <c r="G106" i="2"/>
  <c r="O106" i="2" s="1"/>
  <c r="F41" i="2"/>
  <c r="G41" i="2"/>
  <c r="O41" i="2" s="1"/>
  <c r="F40" i="2"/>
  <c r="G40" i="2"/>
  <c r="O40" i="2" s="1"/>
  <c r="O146" i="2"/>
  <c r="O114" i="2"/>
  <c r="O49" i="2"/>
  <c r="O29" i="2"/>
  <c r="G20" i="2"/>
  <c r="O20" i="2" s="1"/>
  <c r="O17" i="2"/>
  <c r="G479" i="2"/>
  <c r="O479" i="2" s="1"/>
  <c r="F479" i="2"/>
  <c r="G463" i="2"/>
  <c r="O463" i="2" s="1"/>
  <c r="F463" i="2"/>
  <c r="G447" i="2"/>
  <c r="O447" i="2" s="1"/>
  <c r="F447" i="2"/>
  <c r="G423" i="2"/>
  <c r="O423" i="2" s="1"/>
  <c r="F423" i="2"/>
  <c r="G391" i="2"/>
  <c r="O391" i="2" s="1"/>
  <c r="F391" i="2"/>
  <c r="F487" i="2"/>
  <c r="G487" i="2"/>
  <c r="O487" i="2" s="1"/>
  <c r="G455" i="2"/>
  <c r="O455" i="2" s="1"/>
  <c r="F455" i="2"/>
  <c r="G439" i="2"/>
  <c r="O439" i="2" s="1"/>
  <c r="F439" i="2"/>
  <c r="G407" i="2"/>
  <c r="O407" i="2" s="1"/>
  <c r="F407" i="2"/>
  <c r="G361" i="2"/>
  <c r="O361" i="2" s="1"/>
  <c r="F361" i="2"/>
  <c r="F213" i="2"/>
  <c r="G213" i="2"/>
  <c r="O213" i="2" s="1"/>
  <c r="F26" i="2"/>
  <c r="G26" i="2"/>
  <c r="O26" i="2" s="1"/>
  <c r="O720" i="2"/>
  <c r="F717" i="2"/>
  <c r="G717" i="2"/>
  <c r="O717" i="2" s="1"/>
  <c r="O712" i="2"/>
  <c r="F709" i="2"/>
  <c r="G709" i="2"/>
  <c r="O709" i="2" s="1"/>
  <c r="O704" i="2"/>
  <c r="F701" i="2"/>
  <c r="G701" i="2"/>
  <c r="O701" i="2" s="1"/>
  <c r="O696" i="2"/>
  <c r="F693" i="2"/>
  <c r="G693" i="2"/>
  <c r="O693" i="2" s="1"/>
  <c r="F685" i="2"/>
  <c r="G685" i="2"/>
  <c r="O685" i="2" s="1"/>
  <c r="F677" i="2"/>
  <c r="G677" i="2"/>
  <c r="O677" i="2" s="1"/>
  <c r="O672" i="2"/>
  <c r="F669" i="2"/>
  <c r="G669" i="2"/>
  <c r="O669" i="2" s="1"/>
  <c r="O664" i="2"/>
  <c r="F661" i="2"/>
  <c r="G661" i="2"/>
  <c r="O661" i="2" s="1"/>
  <c r="F653" i="2"/>
  <c r="G653" i="2"/>
  <c r="O653" i="2" s="1"/>
  <c r="O648" i="2"/>
  <c r="F645" i="2"/>
  <c r="G645" i="2"/>
  <c r="O645" i="2" s="1"/>
  <c r="O640" i="2"/>
  <c r="F637" i="2"/>
  <c r="G637" i="2"/>
  <c r="O637" i="2" s="1"/>
  <c r="O632" i="2"/>
  <c r="F629" i="2"/>
  <c r="G629" i="2"/>
  <c r="O629" i="2" s="1"/>
  <c r="F621" i="2"/>
  <c r="G621" i="2"/>
  <c r="O621" i="2" s="1"/>
  <c r="F613" i="2"/>
  <c r="G613" i="2"/>
  <c r="O613" i="2" s="1"/>
  <c r="O608" i="2"/>
  <c r="F605" i="2"/>
  <c r="G605" i="2"/>
  <c r="O605" i="2" s="1"/>
  <c r="O600" i="2"/>
  <c r="F597" i="2"/>
  <c r="G597" i="2"/>
  <c r="O597" i="2" s="1"/>
  <c r="F589" i="2"/>
  <c r="G589" i="2"/>
  <c r="O589" i="2" s="1"/>
  <c r="O584" i="2"/>
  <c r="F581" i="2"/>
  <c r="G581" i="2"/>
  <c r="O581" i="2" s="1"/>
  <c r="F573" i="2"/>
  <c r="G573" i="2"/>
  <c r="O573" i="2" s="1"/>
  <c r="O568" i="2"/>
  <c r="F565" i="2"/>
  <c r="G565" i="2"/>
  <c r="O565" i="2" s="1"/>
  <c r="F557" i="2"/>
  <c r="G557" i="2"/>
  <c r="O557" i="2" s="1"/>
  <c r="F549" i="2"/>
  <c r="G549" i="2"/>
  <c r="O549" i="2" s="1"/>
  <c r="F541" i="2"/>
  <c r="G541" i="2"/>
  <c r="O541" i="2" s="1"/>
  <c r="F533" i="2"/>
  <c r="G533" i="2"/>
  <c r="O533" i="2" s="1"/>
  <c r="F525" i="2"/>
  <c r="G525" i="2"/>
  <c r="O525" i="2" s="1"/>
  <c r="O520" i="2"/>
  <c r="F517" i="2"/>
  <c r="G517" i="2"/>
  <c r="O517" i="2" s="1"/>
  <c r="O512" i="2"/>
  <c r="F509" i="2"/>
  <c r="G509" i="2"/>
  <c r="O509" i="2" s="1"/>
  <c r="O504" i="2"/>
  <c r="F501" i="2"/>
  <c r="G501" i="2"/>
  <c r="O501" i="2" s="1"/>
  <c r="G492" i="2"/>
  <c r="O492" i="2" s="1"/>
  <c r="F492" i="2"/>
  <c r="F484" i="2"/>
  <c r="G484" i="2"/>
  <c r="O484" i="2" s="1"/>
  <c r="F476" i="2"/>
  <c r="G476" i="2"/>
  <c r="O476" i="2" s="1"/>
  <c r="F468" i="2"/>
  <c r="G468" i="2"/>
  <c r="O468" i="2" s="1"/>
  <c r="F460" i="2"/>
  <c r="G460" i="2"/>
  <c r="O460" i="2" s="1"/>
  <c r="F452" i="2"/>
  <c r="G452" i="2"/>
  <c r="O452" i="2" s="1"/>
  <c r="F444" i="2"/>
  <c r="G444" i="2"/>
  <c r="O444" i="2" s="1"/>
  <c r="F436" i="2"/>
  <c r="G436" i="2"/>
  <c r="O436" i="2" s="1"/>
  <c r="F428" i="2"/>
  <c r="G428" i="2"/>
  <c r="O428" i="2" s="1"/>
  <c r="F420" i="2"/>
  <c r="G420" i="2"/>
  <c r="O420" i="2" s="1"/>
  <c r="F412" i="2"/>
  <c r="G412" i="2"/>
  <c r="O412" i="2" s="1"/>
  <c r="F404" i="2"/>
  <c r="G404" i="2"/>
  <c r="O404" i="2" s="1"/>
  <c r="F396" i="2"/>
  <c r="G396" i="2"/>
  <c r="O396" i="2" s="1"/>
  <c r="F388" i="2"/>
  <c r="G388" i="2"/>
  <c r="O388" i="2" s="1"/>
  <c r="F386" i="2"/>
  <c r="G386" i="2"/>
  <c r="O386" i="2" s="1"/>
  <c r="O373" i="2"/>
  <c r="F306" i="2"/>
  <c r="G306" i="2"/>
  <c r="O306" i="2" s="1"/>
  <c r="F302" i="2"/>
  <c r="G302" i="2"/>
  <c r="O302" i="2" s="1"/>
  <c r="F258" i="2"/>
  <c r="G258" i="2"/>
  <c r="O258" i="2" s="1"/>
  <c r="F254" i="2"/>
  <c r="G254" i="2"/>
  <c r="O254" i="2" s="1"/>
  <c r="G985" i="2"/>
  <c r="O985" i="2" s="1"/>
  <c r="G981" i="2"/>
  <c r="O981" i="2" s="1"/>
  <c r="G977" i="2"/>
  <c r="O977" i="2" s="1"/>
  <c r="G973" i="2"/>
  <c r="O973" i="2" s="1"/>
  <c r="G969" i="2"/>
  <c r="O969" i="2" s="1"/>
  <c r="G965" i="2"/>
  <c r="O965" i="2" s="1"/>
  <c r="G961" i="2"/>
  <c r="O961" i="2" s="1"/>
  <c r="G957" i="2"/>
  <c r="O957" i="2" s="1"/>
  <c r="G953" i="2"/>
  <c r="O953" i="2" s="1"/>
  <c r="G949" i="2"/>
  <c r="O949" i="2" s="1"/>
  <c r="G945" i="2"/>
  <c r="O945" i="2" s="1"/>
  <c r="G941" i="2"/>
  <c r="O941" i="2" s="1"/>
  <c r="G937" i="2"/>
  <c r="O937" i="2" s="1"/>
  <c r="G933" i="2"/>
  <c r="O933" i="2" s="1"/>
  <c r="G929" i="2"/>
  <c r="O929" i="2" s="1"/>
  <c r="G925" i="2"/>
  <c r="O925" i="2" s="1"/>
  <c r="G921" i="2"/>
  <c r="O921" i="2" s="1"/>
  <c r="G917" i="2"/>
  <c r="O917" i="2" s="1"/>
  <c r="G913" i="2"/>
  <c r="O913" i="2" s="1"/>
  <c r="G909" i="2"/>
  <c r="O909" i="2" s="1"/>
  <c r="G905" i="2"/>
  <c r="O905" i="2" s="1"/>
  <c r="G901" i="2"/>
  <c r="O901" i="2" s="1"/>
  <c r="G897" i="2"/>
  <c r="O897" i="2" s="1"/>
  <c r="G893" i="2"/>
  <c r="O893" i="2" s="1"/>
  <c r="G889" i="2"/>
  <c r="O889" i="2" s="1"/>
  <c r="G885" i="2"/>
  <c r="O885" i="2" s="1"/>
  <c r="G881" i="2"/>
  <c r="O881" i="2" s="1"/>
  <c r="G877" i="2"/>
  <c r="O877" i="2" s="1"/>
  <c r="G873" i="2"/>
  <c r="O873" i="2" s="1"/>
  <c r="G869" i="2"/>
  <c r="O869" i="2" s="1"/>
  <c r="G865" i="2"/>
  <c r="O865" i="2" s="1"/>
  <c r="G861" i="2"/>
  <c r="O861" i="2" s="1"/>
  <c r="G857" i="2"/>
  <c r="O857" i="2" s="1"/>
  <c r="G853" i="2"/>
  <c r="O853" i="2" s="1"/>
  <c r="G849" i="2"/>
  <c r="O849" i="2" s="1"/>
  <c r="G845" i="2"/>
  <c r="O845" i="2" s="1"/>
  <c r="G841" i="2"/>
  <c r="O841" i="2" s="1"/>
  <c r="G837" i="2"/>
  <c r="O837" i="2" s="1"/>
  <c r="G833" i="2"/>
  <c r="O833" i="2" s="1"/>
  <c r="G829" i="2"/>
  <c r="O829" i="2" s="1"/>
  <c r="G825" i="2"/>
  <c r="O825" i="2" s="1"/>
  <c r="G821" i="2"/>
  <c r="O821" i="2" s="1"/>
  <c r="G817" i="2"/>
  <c r="O817" i="2" s="1"/>
  <c r="G813" i="2"/>
  <c r="O813" i="2" s="1"/>
  <c r="G809" i="2"/>
  <c r="O809" i="2" s="1"/>
  <c r="G805" i="2"/>
  <c r="O805" i="2" s="1"/>
  <c r="G801" i="2"/>
  <c r="O801" i="2" s="1"/>
  <c r="G797" i="2"/>
  <c r="O797" i="2" s="1"/>
  <c r="G793" i="2"/>
  <c r="O793" i="2" s="1"/>
  <c r="G789" i="2"/>
  <c r="O789" i="2" s="1"/>
  <c r="G785" i="2"/>
  <c r="O785" i="2" s="1"/>
  <c r="G781" i="2"/>
  <c r="O781" i="2" s="1"/>
  <c r="G777" i="2"/>
  <c r="O777" i="2" s="1"/>
  <c r="G773" i="2"/>
  <c r="O773" i="2" s="1"/>
  <c r="G769" i="2"/>
  <c r="O769" i="2" s="1"/>
  <c r="G765" i="2"/>
  <c r="O765" i="2" s="1"/>
  <c r="G761" i="2"/>
  <c r="O761" i="2" s="1"/>
  <c r="G757" i="2"/>
  <c r="O757" i="2" s="1"/>
  <c r="G753" i="2"/>
  <c r="O753" i="2" s="1"/>
  <c r="G749" i="2"/>
  <c r="O749" i="2" s="1"/>
  <c r="G745" i="2"/>
  <c r="O745" i="2" s="1"/>
  <c r="G741" i="2"/>
  <c r="O741" i="2" s="1"/>
  <c r="G737" i="2"/>
  <c r="O737" i="2" s="1"/>
  <c r="G733" i="2"/>
  <c r="O733" i="2" s="1"/>
  <c r="G729" i="2"/>
  <c r="O729" i="2" s="1"/>
  <c r="F354" i="2"/>
  <c r="G354" i="2"/>
  <c r="O354" i="2" s="1"/>
  <c r="F350" i="2"/>
  <c r="G350" i="2"/>
  <c r="O350" i="2" s="1"/>
  <c r="G471" i="2"/>
  <c r="O471" i="2" s="1"/>
  <c r="F471" i="2"/>
  <c r="G431" i="2"/>
  <c r="O431" i="2" s="1"/>
  <c r="F431" i="2"/>
  <c r="G415" i="2"/>
  <c r="O415" i="2" s="1"/>
  <c r="F415" i="2"/>
  <c r="G399" i="2"/>
  <c r="O399" i="2" s="1"/>
  <c r="F399" i="2"/>
  <c r="F229" i="2"/>
  <c r="G229" i="2"/>
  <c r="O229" i="2" s="1"/>
  <c r="F197" i="2"/>
  <c r="G197" i="2"/>
  <c r="O197" i="2" s="1"/>
  <c r="F181" i="2"/>
  <c r="G181" i="2"/>
  <c r="O181" i="2" s="1"/>
  <c r="F143" i="2"/>
  <c r="G143" i="2"/>
  <c r="O143" i="2" s="1"/>
  <c r="F111" i="2"/>
  <c r="G111" i="2"/>
  <c r="O111" i="2" s="1"/>
  <c r="F79" i="2"/>
  <c r="G79" i="2"/>
  <c r="O79" i="2" s="1"/>
  <c r="F18" i="2"/>
  <c r="G18" i="2"/>
  <c r="O18" i="2" s="1"/>
  <c r="O725" i="2"/>
  <c r="F721" i="2"/>
  <c r="G721" i="2"/>
  <c r="O721" i="2" s="1"/>
  <c r="O716" i="2"/>
  <c r="F713" i="2"/>
  <c r="G713" i="2"/>
  <c r="O713" i="2" s="1"/>
  <c r="O708" i="2"/>
  <c r="F705" i="2"/>
  <c r="G705" i="2"/>
  <c r="O705" i="2" s="1"/>
  <c r="O700" i="2"/>
  <c r="F697" i="2"/>
  <c r="G697" i="2"/>
  <c r="O697" i="2" s="1"/>
  <c r="F689" i="2"/>
  <c r="G689" i="2"/>
  <c r="O689" i="2" s="1"/>
  <c r="F681" i="2"/>
  <c r="G681" i="2"/>
  <c r="O681" i="2" s="1"/>
  <c r="F673" i="2"/>
  <c r="G673" i="2"/>
  <c r="O673" i="2" s="1"/>
  <c r="O668" i="2"/>
  <c r="F665" i="2"/>
  <c r="G665" i="2"/>
  <c r="O665" i="2" s="1"/>
  <c r="F657" i="2"/>
  <c r="G657" i="2"/>
  <c r="O657" i="2" s="1"/>
  <c r="F649" i="2"/>
  <c r="G649" i="2"/>
  <c r="O649" i="2" s="1"/>
  <c r="O644" i="2"/>
  <c r="F641" i="2"/>
  <c r="G641" i="2"/>
  <c r="O641" i="2" s="1"/>
  <c r="O636" i="2"/>
  <c r="F633" i="2"/>
  <c r="G633" i="2"/>
  <c r="O633" i="2" s="1"/>
  <c r="F625" i="2"/>
  <c r="G625" i="2"/>
  <c r="O625" i="2" s="1"/>
  <c r="F617" i="2"/>
  <c r="G617" i="2"/>
  <c r="O617" i="2" s="1"/>
  <c r="O612" i="2"/>
  <c r="F609" i="2"/>
  <c r="G609" i="2"/>
  <c r="O609" i="2" s="1"/>
  <c r="O604" i="2"/>
  <c r="F601" i="2"/>
  <c r="G601" i="2"/>
  <c r="O601" i="2" s="1"/>
  <c r="O596" i="2"/>
  <c r="F593" i="2"/>
  <c r="G593" i="2"/>
  <c r="O593" i="2" s="1"/>
  <c r="O588" i="2"/>
  <c r="F585" i="2"/>
  <c r="G585" i="2"/>
  <c r="O585" i="2" s="1"/>
  <c r="F577" i="2"/>
  <c r="G577" i="2"/>
  <c r="O577" i="2" s="1"/>
  <c r="O572" i="2"/>
  <c r="F569" i="2"/>
  <c r="G569" i="2"/>
  <c r="O569" i="2" s="1"/>
  <c r="F561" i="2"/>
  <c r="G561" i="2"/>
  <c r="O561" i="2" s="1"/>
  <c r="F553" i="2"/>
  <c r="G553" i="2"/>
  <c r="O553" i="2" s="1"/>
  <c r="O548" i="2"/>
  <c r="F545" i="2"/>
  <c r="G545" i="2"/>
  <c r="O545" i="2" s="1"/>
  <c r="O540" i="2"/>
  <c r="F537" i="2"/>
  <c r="G537" i="2"/>
  <c r="O537" i="2" s="1"/>
  <c r="F529" i="2"/>
  <c r="G529" i="2"/>
  <c r="O529" i="2" s="1"/>
  <c r="O524" i="2"/>
  <c r="F521" i="2"/>
  <c r="G521" i="2"/>
  <c r="O521" i="2" s="1"/>
  <c r="O516" i="2"/>
  <c r="F513" i="2"/>
  <c r="G513" i="2"/>
  <c r="O513" i="2" s="1"/>
  <c r="O508" i="2"/>
  <c r="F505" i="2"/>
  <c r="G505" i="2"/>
  <c r="O505" i="2" s="1"/>
  <c r="F497" i="2"/>
  <c r="G497" i="2"/>
  <c r="O497" i="2" s="1"/>
  <c r="O491" i="2"/>
  <c r="F488" i="2"/>
  <c r="O483" i="2"/>
  <c r="F480" i="2"/>
  <c r="G480" i="2"/>
  <c r="O480" i="2" s="1"/>
  <c r="O475" i="2"/>
  <c r="F472" i="2"/>
  <c r="G472" i="2"/>
  <c r="O472" i="2" s="1"/>
  <c r="O467" i="2"/>
  <c r="F464" i="2"/>
  <c r="G464" i="2"/>
  <c r="O464" i="2" s="1"/>
  <c r="O459" i="2"/>
  <c r="F456" i="2"/>
  <c r="G456" i="2"/>
  <c r="O456" i="2" s="1"/>
  <c r="O451" i="2"/>
  <c r="F448" i="2"/>
  <c r="G448" i="2"/>
  <c r="O448" i="2" s="1"/>
  <c r="O443" i="2"/>
  <c r="F440" i="2"/>
  <c r="G440" i="2"/>
  <c r="O440" i="2" s="1"/>
  <c r="F432" i="2"/>
  <c r="G432" i="2"/>
  <c r="O432" i="2" s="1"/>
  <c r="O427" i="2"/>
  <c r="F424" i="2"/>
  <c r="G424" i="2"/>
  <c r="O424" i="2" s="1"/>
  <c r="F416" i="2"/>
  <c r="G416" i="2"/>
  <c r="O416" i="2" s="1"/>
  <c r="O411" i="2"/>
  <c r="F408" i="2"/>
  <c r="G408" i="2"/>
  <c r="O408" i="2" s="1"/>
  <c r="O403" i="2"/>
  <c r="F400" i="2"/>
  <c r="G400" i="2"/>
  <c r="O400" i="2" s="1"/>
  <c r="O395" i="2"/>
  <c r="F392" i="2"/>
  <c r="G392" i="2"/>
  <c r="O392" i="2" s="1"/>
  <c r="G377" i="2"/>
  <c r="O377" i="2" s="1"/>
  <c r="F377" i="2"/>
  <c r="F366" i="2"/>
  <c r="G366" i="2"/>
  <c r="O366" i="2" s="1"/>
  <c r="G357" i="2"/>
  <c r="O357" i="2" s="1"/>
  <c r="F357" i="2"/>
  <c r="G341" i="2"/>
  <c r="O341" i="2" s="1"/>
  <c r="F341" i="2"/>
  <c r="G333" i="2"/>
  <c r="O333" i="2" s="1"/>
  <c r="F333" i="2"/>
  <c r="G325" i="2"/>
  <c r="O325" i="2" s="1"/>
  <c r="F325" i="2"/>
  <c r="G317" i="2"/>
  <c r="O317" i="2" s="1"/>
  <c r="F317" i="2"/>
  <c r="G309" i="2"/>
  <c r="O309" i="2" s="1"/>
  <c r="F309" i="2"/>
  <c r="F274" i="2"/>
  <c r="G274" i="2"/>
  <c r="O274" i="2" s="1"/>
  <c r="F270" i="2"/>
  <c r="G270" i="2"/>
  <c r="O270" i="2" s="1"/>
  <c r="O488" i="2"/>
  <c r="F382" i="2"/>
  <c r="G382" i="2"/>
  <c r="O382" i="2" s="1"/>
  <c r="F370" i="2"/>
  <c r="G370" i="2"/>
  <c r="O370" i="2" s="1"/>
  <c r="F346" i="2"/>
  <c r="G346" i="2"/>
  <c r="O346" i="2" s="1"/>
  <c r="F338" i="2"/>
  <c r="G338" i="2"/>
  <c r="O338" i="2" s="1"/>
  <c r="F330" i="2"/>
  <c r="G330" i="2"/>
  <c r="O330" i="2" s="1"/>
  <c r="F322" i="2"/>
  <c r="G322" i="2"/>
  <c r="O322" i="2" s="1"/>
  <c r="F314" i="2"/>
  <c r="G314" i="2"/>
  <c r="O314" i="2" s="1"/>
  <c r="F290" i="2"/>
  <c r="G290" i="2"/>
  <c r="O290" i="2" s="1"/>
  <c r="F286" i="2"/>
  <c r="G286" i="2"/>
  <c r="O286" i="2" s="1"/>
  <c r="O385" i="2"/>
  <c r="F381" i="2"/>
  <c r="F378" i="2"/>
  <c r="G378" i="2"/>
  <c r="O378" i="2" s="1"/>
  <c r="O369" i="2"/>
  <c r="F365" i="2"/>
  <c r="F362" i="2"/>
  <c r="G362" i="2"/>
  <c r="O362" i="2" s="1"/>
  <c r="F358" i="2"/>
  <c r="G358" i="2"/>
  <c r="O358" i="2" s="1"/>
  <c r="F353" i="2"/>
  <c r="F349" i="2"/>
  <c r="O345" i="2"/>
  <c r="F342" i="2"/>
  <c r="G342" i="2"/>
  <c r="O342" i="2" s="1"/>
  <c r="O337" i="2"/>
  <c r="F334" i="2"/>
  <c r="G334" i="2"/>
  <c r="O334" i="2" s="1"/>
  <c r="F326" i="2"/>
  <c r="G326" i="2"/>
  <c r="O326" i="2" s="1"/>
  <c r="O321" i="2"/>
  <c r="F318" i="2"/>
  <c r="G318" i="2"/>
  <c r="O318" i="2" s="1"/>
  <c r="O313" i="2"/>
  <c r="F310" i="2"/>
  <c r="G310" i="2"/>
  <c r="O310" i="2" s="1"/>
  <c r="F298" i="2"/>
  <c r="G298" i="2"/>
  <c r="O298" i="2" s="1"/>
  <c r="F282" i="2"/>
  <c r="G282" i="2"/>
  <c r="O282" i="2" s="1"/>
  <c r="F266" i="2"/>
  <c r="G266" i="2"/>
  <c r="O266" i="2" s="1"/>
  <c r="F250" i="2"/>
  <c r="G250" i="2"/>
  <c r="O250" i="2" s="1"/>
  <c r="O381" i="2"/>
  <c r="F374" i="2"/>
  <c r="G374" i="2"/>
  <c r="O374" i="2" s="1"/>
  <c r="O365" i="2"/>
  <c r="O353" i="2"/>
  <c r="O349" i="2"/>
  <c r="F294" i="2"/>
  <c r="G294" i="2"/>
  <c r="O294" i="2" s="1"/>
  <c r="F278" i="2"/>
  <c r="G278" i="2"/>
  <c r="O278" i="2" s="1"/>
  <c r="F262" i="2"/>
  <c r="G262" i="2"/>
  <c r="O262" i="2" s="1"/>
  <c r="F246" i="2"/>
  <c r="G246" i="2"/>
  <c r="O246" i="2" s="1"/>
  <c r="G303" i="2"/>
  <c r="O303" i="2" s="1"/>
  <c r="G299" i="2"/>
  <c r="O299" i="2" s="1"/>
  <c r="G295" i="2"/>
  <c r="O295" i="2" s="1"/>
  <c r="G291" i="2"/>
  <c r="O291" i="2" s="1"/>
  <c r="G287" i="2"/>
  <c r="O287" i="2" s="1"/>
  <c r="G283" i="2"/>
  <c r="O283" i="2" s="1"/>
  <c r="G279" i="2"/>
  <c r="O279" i="2" s="1"/>
  <c r="G275" i="2"/>
  <c r="O275" i="2" s="1"/>
  <c r="G271" i="2"/>
  <c r="O271" i="2" s="1"/>
  <c r="G267" i="2"/>
  <c r="O267" i="2" s="1"/>
  <c r="G263" i="2"/>
  <c r="O263" i="2" s="1"/>
  <c r="G259" i="2"/>
  <c r="O259" i="2" s="1"/>
  <c r="G255" i="2"/>
  <c r="O255" i="2" s="1"/>
  <c r="G251" i="2"/>
  <c r="O251" i="2" s="1"/>
  <c r="G247" i="2"/>
  <c r="O247" i="2" s="1"/>
  <c r="F225" i="2"/>
  <c r="G225" i="2"/>
  <c r="O225" i="2" s="1"/>
  <c r="F209" i="2"/>
  <c r="G209" i="2"/>
  <c r="O209" i="2" s="1"/>
  <c r="F193" i="2"/>
  <c r="G193" i="2"/>
  <c r="O193" i="2" s="1"/>
  <c r="F177" i="2"/>
  <c r="G177" i="2"/>
  <c r="O177" i="2" s="1"/>
  <c r="F164" i="2"/>
  <c r="G164" i="2"/>
  <c r="O164" i="2" s="1"/>
  <c r="F237" i="2"/>
  <c r="G237" i="2"/>
  <c r="O237" i="2" s="1"/>
  <c r="O224" i="2"/>
  <c r="F221" i="2"/>
  <c r="G221" i="2"/>
  <c r="O221" i="2" s="1"/>
  <c r="F205" i="2"/>
  <c r="G205" i="2"/>
  <c r="O205" i="2" s="1"/>
  <c r="O192" i="2"/>
  <c r="F189" i="2"/>
  <c r="G189" i="2"/>
  <c r="O189" i="2" s="1"/>
  <c r="O176" i="2"/>
  <c r="F173" i="2"/>
  <c r="G173" i="2"/>
  <c r="O173" i="2" s="1"/>
  <c r="F127" i="2"/>
  <c r="G127" i="2"/>
  <c r="O127" i="2" s="1"/>
  <c r="F95" i="2"/>
  <c r="G95" i="2"/>
  <c r="O95" i="2" s="1"/>
  <c r="O236" i="2"/>
  <c r="F233" i="2"/>
  <c r="G233" i="2"/>
  <c r="O233" i="2" s="1"/>
  <c r="O220" i="2"/>
  <c r="F217" i="2"/>
  <c r="G217" i="2"/>
  <c r="O217" i="2" s="1"/>
  <c r="O204" i="2"/>
  <c r="F201" i="2"/>
  <c r="G201" i="2"/>
  <c r="O201" i="2" s="1"/>
  <c r="F185" i="2"/>
  <c r="G185" i="2"/>
  <c r="O185" i="2" s="1"/>
  <c r="O172" i="2"/>
  <c r="G155" i="2"/>
  <c r="O155" i="2" s="1"/>
  <c r="F155" i="2"/>
  <c r="O167" i="2"/>
  <c r="F163" i="2"/>
  <c r="F160" i="2"/>
  <c r="G160" i="2"/>
  <c r="O160" i="2" s="1"/>
  <c r="F139" i="2"/>
  <c r="G139" i="2"/>
  <c r="O139" i="2" s="1"/>
  <c r="F123" i="2"/>
  <c r="G123" i="2"/>
  <c r="O123" i="2" s="1"/>
  <c r="F107" i="2"/>
  <c r="G107" i="2"/>
  <c r="O107" i="2" s="1"/>
  <c r="F91" i="2"/>
  <c r="G91" i="2"/>
  <c r="O91" i="2" s="1"/>
  <c r="F42" i="2"/>
  <c r="G42" i="2"/>
  <c r="O42" i="2" s="1"/>
  <c r="O163" i="2"/>
  <c r="F156" i="2"/>
  <c r="G156" i="2"/>
  <c r="O156" i="2" s="1"/>
  <c r="F151" i="2"/>
  <c r="G151" i="2"/>
  <c r="O151" i="2" s="1"/>
  <c r="F135" i="2"/>
  <c r="G135" i="2"/>
  <c r="O135" i="2" s="1"/>
  <c r="F119" i="2"/>
  <c r="G119" i="2"/>
  <c r="O119" i="2" s="1"/>
  <c r="F103" i="2"/>
  <c r="G103" i="2"/>
  <c r="O103" i="2" s="1"/>
  <c r="F87" i="2"/>
  <c r="G87" i="2"/>
  <c r="O87" i="2" s="1"/>
  <c r="G74" i="2"/>
  <c r="O74" i="2" s="1"/>
  <c r="F74" i="2"/>
  <c r="F67" i="2"/>
  <c r="G67" i="2"/>
  <c r="O67" i="2" s="1"/>
  <c r="F147" i="2"/>
  <c r="G147" i="2"/>
  <c r="O147" i="2" s="1"/>
  <c r="F131" i="2"/>
  <c r="G131" i="2"/>
  <c r="O131" i="2" s="1"/>
  <c r="F115" i="2"/>
  <c r="G115" i="2"/>
  <c r="O115" i="2" s="1"/>
  <c r="F99" i="2"/>
  <c r="G99" i="2"/>
  <c r="O99" i="2" s="1"/>
  <c r="F83" i="2"/>
  <c r="G83" i="2"/>
  <c r="O83" i="2" s="1"/>
  <c r="G152" i="2"/>
  <c r="O152" i="2" s="1"/>
  <c r="G148" i="2"/>
  <c r="O148" i="2" s="1"/>
  <c r="G144" i="2"/>
  <c r="O144" i="2" s="1"/>
  <c r="G140" i="2"/>
  <c r="O140" i="2" s="1"/>
  <c r="G136" i="2"/>
  <c r="O136" i="2" s="1"/>
  <c r="G132" i="2"/>
  <c r="O132" i="2" s="1"/>
  <c r="G128" i="2"/>
  <c r="O128" i="2" s="1"/>
  <c r="G124" i="2"/>
  <c r="O124" i="2" s="1"/>
  <c r="G120" i="2"/>
  <c r="O120" i="2" s="1"/>
  <c r="G116" i="2"/>
  <c r="O116" i="2" s="1"/>
  <c r="G112" i="2"/>
  <c r="O112" i="2" s="1"/>
  <c r="G108" i="2"/>
  <c r="O108" i="2" s="1"/>
  <c r="G104" i="2"/>
  <c r="O104" i="2" s="1"/>
  <c r="G100" i="2"/>
  <c r="O100" i="2" s="1"/>
  <c r="G96" i="2"/>
  <c r="O96" i="2" s="1"/>
  <c r="G92" i="2"/>
  <c r="O92" i="2" s="1"/>
  <c r="G88" i="2"/>
  <c r="O88" i="2" s="1"/>
  <c r="G84" i="2"/>
  <c r="O84" i="2" s="1"/>
  <c r="G80" i="2"/>
  <c r="O80" i="2" s="1"/>
  <c r="O70" i="2"/>
  <c r="F66" i="2"/>
  <c r="G66" i="2"/>
  <c r="O66" i="2" s="1"/>
  <c r="O61" i="2"/>
  <c r="F58" i="2"/>
  <c r="G58" i="2"/>
  <c r="O58" i="2" s="1"/>
  <c r="F54" i="2"/>
  <c r="G54" i="2"/>
  <c r="O54" i="2" s="1"/>
  <c r="F38" i="2"/>
  <c r="G38" i="2"/>
  <c r="O38" i="2" s="1"/>
  <c r="F22" i="2"/>
  <c r="G22" i="2"/>
  <c r="O22" i="2" s="1"/>
  <c r="F50" i="2"/>
  <c r="G50" i="2"/>
  <c r="O50" i="2" s="1"/>
  <c r="F34" i="2"/>
  <c r="G34" i="2"/>
  <c r="O34" i="2" s="1"/>
  <c r="F10" i="2"/>
  <c r="G10" i="2"/>
  <c r="O10" i="2" s="1"/>
  <c r="F71" i="2"/>
  <c r="G71" i="2"/>
  <c r="O71" i="2" s="1"/>
  <c r="F62" i="2"/>
  <c r="G62" i="2"/>
  <c r="O62" i="2" s="1"/>
  <c r="O57" i="2"/>
  <c r="F46" i="2"/>
  <c r="G46" i="2"/>
  <c r="O46" i="2" s="1"/>
  <c r="F30" i="2"/>
  <c r="G30" i="2"/>
  <c r="O30" i="2" s="1"/>
  <c r="F14" i="2"/>
  <c r="G14" i="2"/>
  <c r="O14" i="2" s="1"/>
  <c r="G55" i="2"/>
  <c r="O55" i="2" s="1"/>
  <c r="G51" i="2"/>
  <c r="O51" i="2" s="1"/>
  <c r="G47" i="2"/>
  <c r="O47" i="2" s="1"/>
  <c r="G43" i="2"/>
  <c r="O43" i="2" s="1"/>
  <c r="G39" i="2"/>
  <c r="O39" i="2" s="1"/>
  <c r="G35" i="2"/>
  <c r="O35" i="2" s="1"/>
  <c r="G31" i="2"/>
  <c r="O31" i="2" s="1"/>
  <c r="G27" i="2"/>
  <c r="O27" i="2" s="1"/>
  <c r="G23" i="2"/>
  <c r="O23" i="2" s="1"/>
  <c r="G19" i="2"/>
  <c r="O19" i="2" s="1"/>
  <c r="G15" i="2"/>
  <c r="O15" i="2" s="1"/>
  <c r="G11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L985" i="1"/>
  <c r="M985" i="1"/>
  <c r="N985" i="1"/>
  <c r="O985" i="1"/>
  <c r="P985" i="1"/>
  <c r="Q985" i="1"/>
  <c r="R985" i="1"/>
  <c r="S985" i="1"/>
  <c r="T985" i="1"/>
  <c r="U985" i="1"/>
  <c r="V985" i="1"/>
  <c r="W985" i="1"/>
  <c r="X985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O11" i="2" l="1"/>
  <c r="B8" i="2"/>
  <c r="C8" i="2"/>
  <c r="CB8" i="2" s="1"/>
  <c r="D8" i="2"/>
  <c r="E8" i="2"/>
  <c r="F8" i="2" s="1"/>
  <c r="H8" i="2"/>
  <c r="H4" i="2" s="1"/>
  <c r="I8" i="2"/>
  <c r="I4" i="2" s="1"/>
  <c r="J8" i="2"/>
  <c r="J4" i="2" s="1"/>
  <c r="K8" i="2"/>
  <c r="K4" i="2" s="1"/>
  <c r="L8" i="2"/>
  <c r="N8" i="2"/>
  <c r="N4" i="2" s="1"/>
  <c r="P8" i="2"/>
  <c r="P4" i="2" s="1"/>
  <c r="Q8" i="2"/>
  <c r="Q4" i="2" s="1"/>
  <c r="R8" i="2"/>
  <c r="CS8" i="2"/>
  <c r="CS11" i="2"/>
  <c r="BD8" i="2" l="1"/>
  <c r="CC8" i="2"/>
  <c r="CD8" i="2"/>
  <c r="CF8" i="2" s="1"/>
  <c r="CA8" i="2"/>
  <c r="BG8" i="2"/>
  <c r="BH8" i="2"/>
  <c r="BJ8" i="2" s="1"/>
  <c r="BF8" i="2"/>
  <c r="F4" i="2"/>
  <c r="S8" i="2"/>
  <c r="S4" i="2" s="1"/>
  <c r="R4" i="2"/>
  <c r="M8" i="2"/>
  <c r="M4" i="2" s="1"/>
  <c r="L4" i="2"/>
  <c r="AK8" i="2"/>
  <c r="CK8" i="2" s="1"/>
  <c r="AO8" i="2"/>
  <c r="CO8" i="2" s="1"/>
  <c r="BQ8" i="2"/>
  <c r="BU8" i="2"/>
  <c r="G8" i="2"/>
  <c r="BS8" i="2"/>
  <c r="BO8" i="2"/>
  <c r="AQ8" i="2"/>
  <c r="CQ8" i="2" s="1"/>
  <c r="AM8" i="2"/>
  <c r="CM8" i="2" s="1"/>
  <c r="BT8" i="2"/>
  <c r="BP8" i="2"/>
  <c r="AN8" i="2"/>
  <c r="CN8" i="2" s="1"/>
  <c r="AJ8" i="2"/>
  <c r="CJ8" i="2" s="1"/>
  <c r="BR8" i="2"/>
  <c r="BN8" i="2"/>
  <c r="AP8" i="2"/>
  <c r="CP8" i="2" s="1"/>
  <c r="AL8" i="2"/>
  <c r="CL8" i="2" s="1"/>
  <c r="O8" i="2" l="1"/>
  <c r="X12" i="2" s="1"/>
  <c r="G4" i="2"/>
  <c r="CO50" i="2"/>
  <c r="CO47" i="2"/>
  <c r="CE39" i="2"/>
  <c r="BW39" i="2"/>
  <c r="BI39" i="2"/>
  <c r="BA39" i="2"/>
  <c r="AS39" i="2"/>
  <c r="CS38" i="2"/>
  <c r="CS37" i="2"/>
  <c r="CS36" i="2"/>
  <c r="CS35" i="2"/>
  <c r="CS34" i="2"/>
  <c r="CS33" i="2"/>
  <c r="CS32" i="2"/>
  <c r="CS31" i="2"/>
  <c r="CS30" i="2"/>
  <c r="CS29" i="2"/>
  <c r="CS28" i="2"/>
  <c r="CS27" i="2"/>
  <c r="CS26" i="2"/>
  <c r="CS25" i="2"/>
  <c r="CS24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0" i="2"/>
  <c r="CS9" i="2"/>
  <c r="AF9" i="2"/>
  <c r="AC7" i="2"/>
  <c r="CN44" i="2" s="1"/>
  <c r="W12" i="2" l="1"/>
  <c r="CC9" i="2"/>
  <c r="CB9" i="2"/>
  <c r="CA9" i="2"/>
  <c r="CD9" i="2"/>
  <c r="CF9" i="2" s="1"/>
  <c r="BF9" i="2"/>
  <c r="AW9" i="2"/>
  <c r="BD9" i="2"/>
  <c r="BG9" i="2"/>
  <c r="AY9" i="2"/>
  <c r="BH9" i="2"/>
  <c r="BJ9" i="2" s="1"/>
  <c r="AZ9" i="2"/>
  <c r="BE9" i="2"/>
  <c r="AX9" i="2"/>
  <c r="I3" i="2"/>
  <c r="AX8" i="2"/>
  <c r="AY8" i="2"/>
  <c r="U8" i="2"/>
  <c r="BM8" i="2"/>
  <c r="BV8" i="2" s="1"/>
  <c r="BX8" i="2" s="1"/>
  <c r="AI8" i="2"/>
  <c r="BZ8" i="2"/>
  <c r="AH8" i="2"/>
  <c r="BL8" i="2"/>
  <c r="U11" i="2"/>
  <c r="U10" i="2"/>
  <c r="U9" i="2"/>
  <c r="U12" i="2"/>
  <c r="BT9" i="2"/>
  <c r="AH9" i="2"/>
  <c r="BZ9" i="2"/>
  <c r="K3" i="2"/>
  <c r="AL9" i="2"/>
  <c r="BL9" i="2"/>
  <c r="BS9" i="2"/>
  <c r="BO9" i="2"/>
  <c r="AO9" i="2"/>
  <c r="AK9" i="2"/>
  <c r="BU9" i="2"/>
  <c r="BQ9" i="2"/>
  <c r="BM9" i="2"/>
  <c r="AQ9" i="2"/>
  <c r="AM9" i="2"/>
  <c r="AI9" i="2"/>
  <c r="BR9" i="2"/>
  <c r="BN9" i="2"/>
  <c r="AN9" i="2"/>
  <c r="AJ9" i="2"/>
  <c r="AF10" i="2"/>
  <c r="AP9" i="2"/>
  <c r="BP9" i="2"/>
  <c r="CS39" i="2"/>
  <c r="CO41" i="2" s="1"/>
  <c r="CB10" i="2" l="1"/>
  <c r="CC10" i="2"/>
  <c r="CA10" i="2"/>
  <c r="CD10" i="2"/>
  <c r="CF10" i="2" s="1"/>
  <c r="BE10" i="2"/>
  <c r="AW10" i="2"/>
  <c r="BD10" i="2"/>
  <c r="AX10" i="2"/>
  <c r="BH10" i="2"/>
  <c r="BJ10" i="2" s="1"/>
  <c r="BF10" i="2"/>
  <c r="AY10" i="2"/>
  <c r="AZ10" i="2"/>
  <c r="BG10" i="2"/>
  <c r="AZ8" i="2"/>
  <c r="BB9" i="2"/>
  <c r="AW8" i="2"/>
  <c r="AF11" i="2"/>
  <c r="AP11" i="2" s="1"/>
  <c r="CP11" i="2" s="1"/>
  <c r="BE8" i="2"/>
  <c r="AR8" i="2"/>
  <c r="CH8" i="2"/>
  <c r="U13" i="2"/>
  <c r="CK9" i="2"/>
  <c r="BU10" i="2"/>
  <c r="BQ10" i="2"/>
  <c r="BM10" i="2"/>
  <c r="AQ10" i="2"/>
  <c r="AM10" i="2"/>
  <c r="AI10" i="2"/>
  <c r="BZ10" i="2"/>
  <c r="BT10" i="2"/>
  <c r="BP10" i="2"/>
  <c r="BL10" i="2"/>
  <c r="AP10" i="2"/>
  <c r="AL10" i="2"/>
  <c r="AH10" i="2"/>
  <c r="BS10" i="2"/>
  <c r="BO10" i="2"/>
  <c r="AO10" i="2"/>
  <c r="AK10" i="2"/>
  <c r="BN10" i="2"/>
  <c r="AN10" i="2"/>
  <c r="AJ10" i="2"/>
  <c r="BR10" i="2"/>
  <c r="CJ9" i="2"/>
  <c r="CL9" i="2"/>
  <c r="CH9" i="2"/>
  <c r="AR9" i="2"/>
  <c r="CM9" i="2"/>
  <c r="BV9" i="2"/>
  <c r="BX9" i="2" s="1"/>
  <c r="CB11" i="2" l="1"/>
  <c r="CC11" i="2"/>
  <c r="CD11" i="2"/>
  <c r="CF11" i="2" s="1"/>
  <c r="BD11" i="2"/>
  <c r="BH11" i="2"/>
  <c r="BJ11" i="2" s="1"/>
  <c r="AW11" i="2"/>
  <c r="BE11" i="2"/>
  <c r="AY11" i="2"/>
  <c r="AX11" i="2"/>
  <c r="CA11" i="2"/>
  <c r="BF11" i="2"/>
  <c r="AZ11" i="2"/>
  <c r="BG11" i="2"/>
  <c r="AM11" i="2"/>
  <c r="CM11" i="2" s="1"/>
  <c r="AN11" i="2"/>
  <c r="CN11" i="2" s="1"/>
  <c r="BL11" i="2"/>
  <c r="AO11" i="2"/>
  <c r="CO11" i="2" s="1"/>
  <c r="BZ11" i="2"/>
  <c r="BR11" i="2"/>
  <c r="BM11" i="2"/>
  <c r="AQ11" i="2"/>
  <c r="CQ11" i="2" s="1"/>
  <c r="AH11" i="2"/>
  <c r="BB8" i="2"/>
  <c r="AA12" i="2"/>
  <c r="BO11" i="2"/>
  <c r="AK11" i="2"/>
  <c r="CK11" i="2" s="1"/>
  <c r="BN11" i="2"/>
  <c r="AJ11" i="2"/>
  <c r="CJ11" i="2" s="1"/>
  <c r="BU11" i="2"/>
  <c r="AI11" i="2"/>
  <c r="BT11" i="2"/>
  <c r="AL11" i="2"/>
  <c r="CL11" i="2" s="1"/>
  <c r="BS11" i="2"/>
  <c r="BQ11" i="2"/>
  <c r="BP11" i="2"/>
  <c r="AC11" i="2"/>
  <c r="AB11" i="2"/>
  <c r="AC9" i="2"/>
  <c r="AA9" i="2"/>
  <c r="AA11" i="2"/>
  <c r="AB10" i="2"/>
  <c r="AC8" i="2"/>
  <c r="AA8" i="2"/>
  <c r="AA10" i="2"/>
  <c r="X10" i="2"/>
  <c r="AC10" i="2"/>
  <c r="AC12" i="2"/>
  <c r="CI8" i="2"/>
  <c r="AB8" i="2"/>
  <c r="AB9" i="2"/>
  <c r="AB12" i="2"/>
  <c r="Y8" i="2"/>
  <c r="AD8" i="2"/>
  <c r="V8" i="2"/>
  <c r="V11" i="2"/>
  <c r="X8" i="2"/>
  <c r="W8" i="2"/>
  <c r="Z8" i="2"/>
  <c r="CR8" i="2"/>
  <c r="CT8" i="2" s="1"/>
  <c r="AT8" i="2"/>
  <c r="AD11" i="2"/>
  <c r="Y11" i="2"/>
  <c r="Z11" i="2"/>
  <c r="CN9" i="2"/>
  <c r="V12" i="2"/>
  <c r="CL10" i="2"/>
  <c r="CK10" i="2"/>
  <c r="BB10" i="2"/>
  <c r="AF12" i="2"/>
  <c r="CJ10" i="2"/>
  <c r="AT9" i="2"/>
  <c r="CR9" i="2"/>
  <c r="CT9" i="2" s="1"/>
  <c r="CO9" i="2"/>
  <c r="CN10" i="2"/>
  <c r="CI10" i="2"/>
  <c r="AR10" i="2"/>
  <c r="CI9" i="2"/>
  <c r="Z10" i="2"/>
  <c r="CH10" i="2"/>
  <c r="CM10" i="2"/>
  <c r="BV10" i="2"/>
  <c r="BX10" i="2" s="1"/>
  <c r="CB12" i="2" l="1"/>
  <c r="CC12" i="2"/>
  <c r="CD12" i="2"/>
  <c r="CF12" i="2" s="1"/>
  <c r="CH11" i="2"/>
  <c r="BG12" i="2"/>
  <c r="AW12" i="2"/>
  <c r="CA12" i="2"/>
  <c r="BE12" i="2"/>
  <c r="AZ12" i="2"/>
  <c r="BF12" i="2"/>
  <c r="BH12" i="2"/>
  <c r="BJ12" i="2" s="1"/>
  <c r="AX12" i="2"/>
  <c r="BD12" i="2"/>
  <c r="AY12" i="2"/>
  <c r="BV11" i="2"/>
  <c r="BX11" i="2" s="1"/>
  <c r="AC13" i="2"/>
  <c r="BB11" i="2"/>
  <c r="CI11" i="2"/>
  <c r="AR11" i="2"/>
  <c r="AT11" i="2" s="1"/>
  <c r="AB13" i="2"/>
  <c r="Z12" i="2"/>
  <c r="V10" i="2"/>
  <c r="V9" i="2"/>
  <c r="AD10" i="2"/>
  <c r="Z9" i="2"/>
  <c r="W10" i="2"/>
  <c r="W9" i="2"/>
  <c r="Y12" i="2"/>
  <c r="X9" i="2"/>
  <c r="Y10" i="2"/>
  <c r="AD9" i="2"/>
  <c r="Y9" i="2"/>
  <c r="CO10" i="2"/>
  <c r="CP10" i="2"/>
  <c r="AT10" i="2"/>
  <c r="CR10" i="2"/>
  <c r="CT10" i="2" s="1"/>
  <c r="AF13" i="2"/>
  <c r="BU12" i="2"/>
  <c r="BQ12" i="2"/>
  <c r="BM12" i="2"/>
  <c r="AQ12" i="2"/>
  <c r="AM12" i="2"/>
  <c r="AI12" i="2"/>
  <c r="AK12" i="2"/>
  <c r="BZ12" i="2"/>
  <c r="BT12" i="2"/>
  <c r="BP12" i="2"/>
  <c r="BL12" i="2"/>
  <c r="AP12" i="2"/>
  <c r="AL12" i="2"/>
  <c r="AH12" i="2"/>
  <c r="BS12" i="2"/>
  <c r="BO12" i="2"/>
  <c r="AO12" i="2"/>
  <c r="AJ12" i="2"/>
  <c r="BR12" i="2"/>
  <c r="BN12" i="2"/>
  <c r="AN12" i="2"/>
  <c r="CP9" i="2"/>
  <c r="CC13" i="2" l="1"/>
  <c r="CB13" i="2"/>
  <c r="CD13" i="2"/>
  <c r="CF13" i="2" s="1"/>
  <c r="CA13" i="2"/>
  <c r="BF13" i="2"/>
  <c r="AW13" i="2"/>
  <c r="BE13" i="2"/>
  <c r="BH13" i="2"/>
  <c r="BJ13" i="2" s="1"/>
  <c r="AX13" i="2"/>
  <c r="AY13" i="2"/>
  <c r="BD13" i="2"/>
  <c r="BG13" i="2"/>
  <c r="AZ13" i="2"/>
  <c r="CR11" i="2"/>
  <c r="CT11" i="2" s="1"/>
  <c r="CQ10" i="2"/>
  <c r="CQ9" i="2"/>
  <c r="BV12" i="2"/>
  <c r="BX12" i="2" s="1"/>
  <c r="BB12" i="2"/>
  <c r="CP12" i="2"/>
  <c r="CM12" i="2"/>
  <c r="Y13" i="2"/>
  <c r="Z13" i="2"/>
  <c r="BS13" i="2"/>
  <c r="BO13" i="2"/>
  <c r="AO13" i="2"/>
  <c r="AK13" i="2"/>
  <c r="BU13" i="2"/>
  <c r="BM13" i="2"/>
  <c r="AM13" i="2"/>
  <c r="BR13" i="2"/>
  <c r="BN13" i="2"/>
  <c r="AN13" i="2"/>
  <c r="AJ13" i="2"/>
  <c r="AF14" i="2"/>
  <c r="BQ13" i="2"/>
  <c r="AQ13" i="2"/>
  <c r="AI13" i="2"/>
  <c r="BP13" i="2"/>
  <c r="AP13" i="2"/>
  <c r="BT13" i="2"/>
  <c r="BL13" i="2"/>
  <c r="AL13" i="2"/>
  <c r="BZ13" i="2"/>
  <c r="AH13" i="2"/>
  <c r="CJ12" i="2"/>
  <c r="CL12" i="2"/>
  <c r="CI12" i="2"/>
  <c r="AR12" i="2"/>
  <c r="CK12" i="2"/>
  <c r="V13" i="2"/>
  <c r="W13" i="2"/>
  <c r="CQ12" i="2"/>
  <c r="CN12" i="2"/>
  <c r="CO12" i="2"/>
  <c r="CH12" i="2"/>
  <c r="X13" i="2"/>
  <c r="CB14" i="2" l="1"/>
  <c r="CC14" i="2"/>
  <c r="CD14" i="2"/>
  <c r="CF14" i="2" s="1"/>
  <c r="BE14" i="2"/>
  <c r="AW14" i="2"/>
  <c r="BF14" i="2"/>
  <c r="AX14" i="2"/>
  <c r="AZ14" i="2"/>
  <c r="BD14" i="2"/>
  <c r="CA14" i="2"/>
  <c r="BG14" i="2"/>
  <c r="BH14" i="2"/>
  <c r="BJ14" i="2" s="1"/>
  <c r="AY14" i="2"/>
  <c r="CK13" i="2"/>
  <c r="CN13" i="2"/>
  <c r="CQ13" i="2"/>
  <c r="CO43" i="2"/>
  <c r="AT12" i="2"/>
  <c r="CR12" i="2"/>
  <c r="CT12" i="2" s="1"/>
  <c r="CP13" i="2"/>
  <c r="CI13" i="2"/>
  <c r="AR13" i="2"/>
  <c r="BU14" i="2"/>
  <c r="BQ14" i="2"/>
  <c r="BM14" i="2"/>
  <c r="AQ14" i="2"/>
  <c r="AM14" i="2"/>
  <c r="AI14" i="2"/>
  <c r="BS14" i="2"/>
  <c r="AK14" i="2"/>
  <c r="BZ14" i="2"/>
  <c r="BT14" i="2"/>
  <c r="BP14" i="2"/>
  <c r="BL14" i="2"/>
  <c r="AP14" i="2"/>
  <c r="AL14" i="2"/>
  <c r="AH14" i="2"/>
  <c r="AF15" i="2"/>
  <c r="BO14" i="2"/>
  <c r="AO14" i="2"/>
  <c r="AJ14" i="2"/>
  <c r="BN14" i="2"/>
  <c r="AN14" i="2"/>
  <c r="BR14" i="2"/>
  <c r="CJ13" i="2"/>
  <c r="CH13" i="2"/>
  <c r="CL13" i="2"/>
  <c r="CM13" i="2"/>
  <c r="BV13" i="2"/>
  <c r="CO13" i="2"/>
  <c r="CO42" i="2"/>
  <c r="CB15" i="2" l="1"/>
  <c r="CC15" i="2"/>
  <c r="CD15" i="2"/>
  <c r="CF15" i="2" s="1"/>
  <c r="BD15" i="2"/>
  <c r="BH15" i="2"/>
  <c r="BJ15" i="2" s="1"/>
  <c r="AW15" i="2"/>
  <c r="BF15" i="2"/>
  <c r="AY15" i="2"/>
  <c r="BE15" i="2"/>
  <c r="BG15" i="2"/>
  <c r="AX15" i="2"/>
  <c r="CA15" i="2"/>
  <c r="AZ15" i="2"/>
  <c r="CO14" i="2"/>
  <c r="CH14" i="2"/>
  <c r="CM14" i="2"/>
  <c r="BX13" i="2"/>
  <c r="CJ14" i="2"/>
  <c r="CI14" i="2"/>
  <c r="AR14" i="2"/>
  <c r="CN14" i="2"/>
  <c r="CL14" i="2"/>
  <c r="BV14" i="2"/>
  <c r="BX14" i="2" s="1"/>
  <c r="BB13" i="2"/>
  <c r="CP14" i="2"/>
  <c r="CQ14" i="2"/>
  <c r="BU15" i="2"/>
  <c r="BQ15" i="2"/>
  <c r="BM15" i="2"/>
  <c r="AQ15" i="2"/>
  <c r="AM15" i="2"/>
  <c r="AI15" i="2"/>
  <c r="AK15" i="2"/>
  <c r="AF16" i="2"/>
  <c r="BZ15" i="2"/>
  <c r="BT15" i="2"/>
  <c r="BP15" i="2"/>
  <c r="BL15" i="2"/>
  <c r="AP15" i="2"/>
  <c r="AL15" i="2"/>
  <c r="AH15" i="2"/>
  <c r="BS15" i="2"/>
  <c r="BO15" i="2"/>
  <c r="AO15" i="2"/>
  <c r="BR15" i="2"/>
  <c r="BN15" i="2"/>
  <c r="AN15" i="2"/>
  <c r="AJ15" i="2"/>
  <c r="CK14" i="2"/>
  <c r="BB14" i="2"/>
  <c r="AT13" i="2"/>
  <c r="CR13" i="2"/>
  <c r="CB16" i="2" l="1"/>
  <c r="CC16" i="2"/>
  <c r="CD16" i="2"/>
  <c r="CF16" i="2" s="1"/>
  <c r="BG16" i="2"/>
  <c r="AW16" i="2"/>
  <c r="BF16" i="2"/>
  <c r="AZ16" i="2"/>
  <c r="CA16" i="2"/>
  <c r="BH16" i="2"/>
  <c r="BJ16" i="2" s="1"/>
  <c r="AY16" i="2"/>
  <c r="BD16" i="2"/>
  <c r="BE16" i="2"/>
  <c r="AX16" i="2"/>
  <c r="CQ15" i="2"/>
  <c r="CN15" i="2"/>
  <c r="CL15" i="2"/>
  <c r="CM15" i="2"/>
  <c r="BV15" i="2"/>
  <c r="BX15" i="2" s="1"/>
  <c r="CT13" i="2"/>
  <c r="CJ15" i="2"/>
  <c r="BZ16" i="2"/>
  <c r="BT16" i="2"/>
  <c r="BP16" i="2"/>
  <c r="BL16" i="2"/>
  <c r="AP16" i="2"/>
  <c r="AL16" i="2"/>
  <c r="AH16" i="2"/>
  <c r="BR16" i="2"/>
  <c r="BN16" i="2"/>
  <c r="AF17" i="2"/>
  <c r="BS16" i="2"/>
  <c r="BO16" i="2"/>
  <c r="AO16" i="2"/>
  <c r="AK16" i="2"/>
  <c r="AN16" i="2"/>
  <c r="AJ16" i="2"/>
  <c r="AI16" i="2"/>
  <c r="BQ16" i="2"/>
  <c r="AQ16" i="2"/>
  <c r="BM16" i="2"/>
  <c r="AM16" i="2"/>
  <c r="BU16" i="2"/>
  <c r="CO15" i="2"/>
  <c r="CH15" i="2"/>
  <c r="CK15" i="2"/>
  <c r="AT14" i="2"/>
  <c r="CR14" i="2"/>
  <c r="CT14" i="2" s="1"/>
  <c r="BB15" i="2"/>
  <c r="CP15" i="2"/>
  <c r="CI15" i="2"/>
  <c r="AR15" i="2"/>
  <c r="CC17" i="2" l="1"/>
  <c r="CB17" i="2"/>
  <c r="CD17" i="2"/>
  <c r="CF17" i="2" s="1"/>
  <c r="CA17" i="2"/>
  <c r="BF17" i="2"/>
  <c r="AW17" i="2"/>
  <c r="BG17" i="2"/>
  <c r="BD17" i="2"/>
  <c r="AX17" i="2"/>
  <c r="BE17" i="2"/>
  <c r="AY17" i="2"/>
  <c r="AZ17" i="2"/>
  <c r="BH17" i="2"/>
  <c r="BJ17" i="2" s="1"/>
  <c r="BB16" i="2"/>
  <c r="CK16" i="2"/>
  <c r="CH16" i="2"/>
  <c r="CN16" i="2"/>
  <c r="CL16" i="2"/>
  <c r="CM16" i="2"/>
  <c r="CP16" i="2"/>
  <c r="BZ17" i="2"/>
  <c r="BT17" i="2"/>
  <c r="BP17" i="2"/>
  <c r="BL17" i="2"/>
  <c r="AP17" i="2"/>
  <c r="AL17" i="2"/>
  <c r="AH17" i="2"/>
  <c r="BR17" i="2"/>
  <c r="BN17" i="2"/>
  <c r="AN17" i="2"/>
  <c r="AJ17" i="2"/>
  <c r="BS17" i="2"/>
  <c r="BO17" i="2"/>
  <c r="AO17" i="2"/>
  <c r="AK17" i="2"/>
  <c r="AF18" i="2"/>
  <c r="BU17" i="2"/>
  <c r="BM17" i="2"/>
  <c r="AM17" i="2"/>
  <c r="AI17" i="2"/>
  <c r="BQ17" i="2"/>
  <c r="AQ17" i="2"/>
  <c r="CQ16" i="2"/>
  <c r="AT15" i="2"/>
  <c r="CR15" i="2"/>
  <c r="CT15" i="2" s="1"/>
  <c r="BV16" i="2"/>
  <c r="AR16" i="2"/>
  <c r="CI16" i="2"/>
  <c r="CJ16" i="2"/>
  <c r="CO16" i="2"/>
  <c r="CB18" i="2" l="1"/>
  <c r="CC18" i="2"/>
  <c r="CD18" i="2"/>
  <c r="CF18" i="2" s="1"/>
  <c r="BE18" i="2"/>
  <c r="CA18" i="2"/>
  <c r="BG18" i="2"/>
  <c r="AW18" i="2"/>
  <c r="BD18" i="2"/>
  <c r="AX18" i="2"/>
  <c r="BF18" i="2"/>
  <c r="AY18" i="2"/>
  <c r="BH18" i="2"/>
  <c r="BJ18" i="2" s="1"/>
  <c r="AZ18" i="2"/>
  <c r="CQ17" i="2"/>
  <c r="CL17" i="2"/>
  <c r="CP17" i="2"/>
  <c r="CK17" i="2"/>
  <c r="CR16" i="2"/>
  <c r="CT16" i="2" s="1"/>
  <c r="AT16" i="2"/>
  <c r="AR17" i="2"/>
  <c r="CI17" i="2"/>
  <c r="CM17" i="2"/>
  <c r="BB17" i="2"/>
  <c r="CJ17" i="2"/>
  <c r="BJ3" i="2"/>
  <c r="CN17" i="2"/>
  <c r="BX16" i="2"/>
  <c r="BV17" i="2"/>
  <c r="BX17" i="2" s="1"/>
  <c r="AF19" i="2"/>
  <c r="BZ18" i="2"/>
  <c r="BT18" i="2"/>
  <c r="BP18" i="2"/>
  <c r="BL18" i="2"/>
  <c r="AP18" i="2"/>
  <c r="AL18" i="2"/>
  <c r="AH18" i="2"/>
  <c r="BQ18" i="2"/>
  <c r="AQ18" i="2"/>
  <c r="AK18" i="2"/>
  <c r="BS18" i="2"/>
  <c r="BN18" i="2"/>
  <c r="AN18" i="2"/>
  <c r="AI18" i="2"/>
  <c r="BU18" i="2"/>
  <c r="BO18" i="2"/>
  <c r="AO18" i="2"/>
  <c r="AJ18" i="2"/>
  <c r="BR18" i="2"/>
  <c r="AM18" i="2"/>
  <c r="BM18" i="2"/>
  <c r="CO17" i="2"/>
  <c r="CH17" i="2"/>
  <c r="CB19" i="2" l="1"/>
  <c r="CC19" i="2"/>
  <c r="CD19" i="2"/>
  <c r="CF19" i="2" s="1"/>
  <c r="BD19" i="2"/>
  <c r="BH19" i="2"/>
  <c r="BJ19" i="2" s="1"/>
  <c r="BG19" i="2"/>
  <c r="AW19" i="2"/>
  <c r="BF19" i="2"/>
  <c r="AY19" i="2"/>
  <c r="CA19" i="2"/>
  <c r="AZ19" i="2"/>
  <c r="BE19" i="2"/>
  <c r="AX19" i="2"/>
  <c r="BB18" i="2"/>
  <c r="CP18" i="2"/>
  <c r="BV18" i="2"/>
  <c r="BX18" i="2" s="1"/>
  <c r="CM18" i="2"/>
  <c r="CH18" i="2"/>
  <c r="CQ18" i="2"/>
  <c r="CL18" i="2"/>
  <c r="CR17" i="2"/>
  <c r="CT17" i="2" s="1"/>
  <c r="AT17" i="2"/>
  <c r="CJ18" i="2"/>
  <c r="CI18" i="2"/>
  <c r="AR18" i="2"/>
  <c r="CO18" i="2"/>
  <c r="CN18" i="2"/>
  <c r="CK18" i="2"/>
  <c r="BJ4" i="2"/>
  <c r="BS19" i="2"/>
  <c r="BO19" i="2"/>
  <c r="AO19" i="2"/>
  <c r="AK19" i="2"/>
  <c r="BZ19" i="2"/>
  <c r="BR19" i="2"/>
  <c r="BM19" i="2"/>
  <c r="AM19" i="2"/>
  <c r="AH19" i="2"/>
  <c r="AP19" i="2"/>
  <c r="AJ19" i="2"/>
  <c r="BQ19" i="2"/>
  <c r="BL19" i="2"/>
  <c r="AQ19" i="2"/>
  <c r="AL19" i="2"/>
  <c r="BU19" i="2"/>
  <c r="BP19" i="2"/>
  <c r="BT19" i="2"/>
  <c r="AI19" i="2"/>
  <c r="AF20" i="2"/>
  <c r="AN19" i="2"/>
  <c r="BN19" i="2"/>
  <c r="CB20" i="2" l="1"/>
  <c r="CC20" i="2"/>
  <c r="CD20" i="2"/>
  <c r="CF20" i="2" s="1"/>
  <c r="BG20" i="2"/>
  <c r="BH20" i="2"/>
  <c r="BJ20" i="2" s="1"/>
  <c r="AW20" i="2"/>
  <c r="AZ20" i="2"/>
  <c r="BD20" i="2"/>
  <c r="CA20" i="2"/>
  <c r="BE20" i="2"/>
  <c r="AX20" i="2"/>
  <c r="BF20" i="2"/>
  <c r="AY20" i="2"/>
  <c r="CN19" i="2"/>
  <c r="CO19" i="2"/>
  <c r="CK19" i="2"/>
  <c r="CP19" i="2"/>
  <c r="CH19" i="2"/>
  <c r="CR18" i="2"/>
  <c r="CT18" i="2" s="1"/>
  <c r="AT18" i="2"/>
  <c r="CL19" i="2"/>
  <c r="BB19" i="2"/>
  <c r="CM19" i="2"/>
  <c r="BR20" i="2"/>
  <c r="BN20" i="2"/>
  <c r="AN20" i="2"/>
  <c r="AJ20" i="2"/>
  <c r="AF21" i="2"/>
  <c r="BU20" i="2"/>
  <c r="BP20" i="2"/>
  <c r="AP20" i="2"/>
  <c r="AK20" i="2"/>
  <c r="BS20" i="2"/>
  <c r="BM20" i="2"/>
  <c r="BT20" i="2"/>
  <c r="BO20" i="2"/>
  <c r="AO20" i="2"/>
  <c r="AI20" i="2"/>
  <c r="BZ20" i="2"/>
  <c r="AM20" i="2"/>
  <c r="AH20" i="2"/>
  <c r="AQ20" i="2"/>
  <c r="BL20" i="2"/>
  <c r="AL20" i="2"/>
  <c r="BQ20" i="2"/>
  <c r="CQ19" i="2"/>
  <c r="BV19" i="2"/>
  <c r="BX19" i="2" s="1"/>
  <c r="AR19" i="2"/>
  <c r="CI19" i="2"/>
  <c r="CJ19" i="2"/>
  <c r="CC21" i="2" l="1"/>
  <c r="CB21" i="2"/>
  <c r="CD21" i="2"/>
  <c r="CF21" i="2" s="1"/>
  <c r="CA21" i="2"/>
  <c r="BF21" i="2"/>
  <c r="BH21" i="2"/>
  <c r="BJ21" i="2" s="1"/>
  <c r="AW21" i="2"/>
  <c r="BD21" i="2"/>
  <c r="BE21" i="2"/>
  <c r="AX21" i="2"/>
  <c r="BG21" i="2"/>
  <c r="AY21" i="2"/>
  <c r="AZ21" i="2"/>
  <c r="CJ20" i="2"/>
  <c r="CL20" i="2"/>
  <c r="CH20" i="2"/>
  <c r="CK20" i="2"/>
  <c r="CN20" i="2"/>
  <c r="AT19" i="2"/>
  <c r="CR19" i="2"/>
  <c r="CT19" i="2" s="1"/>
  <c r="CQ20" i="2"/>
  <c r="CM20" i="2"/>
  <c r="AR20" i="2"/>
  <c r="CI20" i="2"/>
  <c r="BV20" i="2"/>
  <c r="BX20" i="2" s="1"/>
  <c r="CP20" i="2"/>
  <c r="CO20" i="2"/>
  <c r="BB20" i="2"/>
  <c r="BU21" i="2"/>
  <c r="BQ21" i="2"/>
  <c r="BM21" i="2"/>
  <c r="AQ21" i="2"/>
  <c r="AM21" i="2"/>
  <c r="AI21" i="2"/>
  <c r="AF22" i="2"/>
  <c r="BR21" i="2"/>
  <c r="BL21" i="2"/>
  <c r="AL21" i="2"/>
  <c r="AO21" i="2"/>
  <c r="BP21" i="2"/>
  <c r="AP21" i="2"/>
  <c r="AK21" i="2"/>
  <c r="BT21" i="2"/>
  <c r="BO21" i="2"/>
  <c r="AJ21" i="2"/>
  <c r="BS21" i="2"/>
  <c r="BN21" i="2"/>
  <c r="BZ21" i="2"/>
  <c r="AN21" i="2"/>
  <c r="AH21" i="2"/>
  <c r="CB22" i="2" l="1"/>
  <c r="CC22" i="2"/>
  <c r="CD22" i="2"/>
  <c r="CF22" i="2" s="1"/>
  <c r="BE22" i="2"/>
  <c r="BH22" i="2"/>
  <c r="BJ22" i="2" s="1"/>
  <c r="AW22" i="2"/>
  <c r="BF22" i="2"/>
  <c r="AX22" i="2"/>
  <c r="BG22" i="2"/>
  <c r="AY22" i="2"/>
  <c r="AZ22" i="2"/>
  <c r="CA22" i="2"/>
  <c r="BD22" i="2"/>
  <c r="BV21" i="2"/>
  <c r="BX21" i="2" s="1"/>
  <c r="CH21" i="2"/>
  <c r="CM21" i="2"/>
  <c r="CJ21" i="2"/>
  <c r="CP21" i="2"/>
  <c r="CO21" i="2"/>
  <c r="CQ21" i="2"/>
  <c r="CN21" i="2"/>
  <c r="CL21" i="2"/>
  <c r="AF23" i="2"/>
  <c r="BZ22" i="2"/>
  <c r="BT22" i="2"/>
  <c r="BP22" i="2"/>
  <c r="BL22" i="2"/>
  <c r="AP22" i="2"/>
  <c r="AL22" i="2"/>
  <c r="AH22" i="2"/>
  <c r="BR22" i="2"/>
  <c r="BM22" i="2"/>
  <c r="AM22" i="2"/>
  <c r="BQ22" i="2"/>
  <c r="AQ22" i="2"/>
  <c r="AK22" i="2"/>
  <c r="BU22" i="2"/>
  <c r="BO22" i="2"/>
  <c r="AO22" i="2"/>
  <c r="AJ22" i="2"/>
  <c r="BS22" i="2"/>
  <c r="AI22" i="2"/>
  <c r="AN22" i="2"/>
  <c r="BN22" i="2"/>
  <c r="BB21" i="2"/>
  <c r="CI21" i="2"/>
  <c r="AR21" i="2"/>
  <c r="CK21" i="2"/>
  <c r="CR20" i="2"/>
  <c r="CT20" i="2" s="1"/>
  <c r="AT20" i="2"/>
  <c r="CB23" i="2" l="1"/>
  <c r="CC23" i="2"/>
  <c r="CD23" i="2"/>
  <c r="CF23" i="2" s="1"/>
  <c r="BD23" i="2"/>
  <c r="BH23" i="2"/>
  <c r="BJ23" i="2" s="1"/>
  <c r="CA23" i="2"/>
  <c r="AW23" i="2"/>
  <c r="BG23" i="2"/>
  <c r="AY23" i="2"/>
  <c r="AZ23" i="2"/>
  <c r="BE23" i="2"/>
  <c r="AX23" i="2"/>
  <c r="BF23" i="2"/>
  <c r="CL22" i="2"/>
  <c r="CP22" i="2"/>
  <c r="CH22" i="2"/>
  <c r="CN22" i="2"/>
  <c r="CK22" i="2"/>
  <c r="CJ22" i="2"/>
  <c r="CQ22" i="2"/>
  <c r="BS23" i="2"/>
  <c r="BO23" i="2"/>
  <c r="AO23" i="2"/>
  <c r="AK23" i="2"/>
  <c r="AF24" i="2"/>
  <c r="BT23" i="2"/>
  <c r="BN23" i="2"/>
  <c r="AN23" i="2"/>
  <c r="AI23" i="2"/>
  <c r="BQ23" i="2"/>
  <c r="BL23" i="2"/>
  <c r="AL23" i="2"/>
  <c r="BZ23" i="2"/>
  <c r="BR23" i="2"/>
  <c r="BM23" i="2"/>
  <c r="AM23" i="2"/>
  <c r="AH23" i="2"/>
  <c r="AQ23" i="2"/>
  <c r="BP23" i="2"/>
  <c r="AP23" i="2"/>
  <c r="BU23" i="2"/>
  <c r="AJ23" i="2"/>
  <c r="AT21" i="2"/>
  <c r="CR21" i="2"/>
  <c r="CT21" i="2" s="1"/>
  <c r="CO22" i="2"/>
  <c r="CM22" i="2"/>
  <c r="AR22" i="2"/>
  <c r="CI22" i="2"/>
  <c r="BB22" i="2"/>
  <c r="BV22" i="2"/>
  <c r="BX22" i="2" s="1"/>
  <c r="CB24" i="2" l="1"/>
  <c r="CC24" i="2"/>
  <c r="CD24" i="2"/>
  <c r="CF24" i="2" s="1"/>
  <c r="BG24" i="2"/>
  <c r="BD24" i="2"/>
  <c r="AW24" i="2"/>
  <c r="CA24" i="2"/>
  <c r="AZ24" i="2"/>
  <c r="BE24" i="2"/>
  <c r="BF24" i="2"/>
  <c r="BH24" i="2"/>
  <c r="BJ24" i="2" s="1"/>
  <c r="AX24" i="2"/>
  <c r="AY24" i="2"/>
  <c r="BB23" i="2"/>
  <c r="BV23" i="2"/>
  <c r="BX23" i="2" s="1"/>
  <c r="CO23" i="2"/>
  <c r="CK23" i="2"/>
  <c r="CQ23" i="2"/>
  <c r="CP23" i="2"/>
  <c r="CJ23" i="2"/>
  <c r="CR22" i="2"/>
  <c r="CT22" i="2" s="1"/>
  <c r="AT22" i="2"/>
  <c r="CM23" i="2"/>
  <c r="BR24" i="2"/>
  <c r="BN24" i="2"/>
  <c r="AN24" i="2"/>
  <c r="AJ24" i="2"/>
  <c r="BQ24" i="2"/>
  <c r="BL24" i="2"/>
  <c r="AQ24" i="2"/>
  <c r="AL24" i="2"/>
  <c r="BO24" i="2"/>
  <c r="AI24" i="2"/>
  <c r="AF25" i="2"/>
  <c r="BU24" i="2"/>
  <c r="BP24" i="2"/>
  <c r="AP24" i="2"/>
  <c r="AK24" i="2"/>
  <c r="BT24" i="2"/>
  <c r="AO24" i="2"/>
  <c r="BS24" i="2"/>
  <c r="AH24" i="2"/>
  <c r="BZ24" i="2"/>
  <c r="AM24" i="2"/>
  <c r="BM24" i="2"/>
  <c r="CL23" i="2"/>
  <c r="AR23" i="2"/>
  <c r="CI23" i="2"/>
  <c r="CH23" i="2"/>
  <c r="CN23" i="2"/>
  <c r="CC25" i="2" l="1"/>
  <c r="CB25" i="2"/>
  <c r="CD25" i="2"/>
  <c r="CF25" i="2" s="1"/>
  <c r="CA25" i="2"/>
  <c r="BF25" i="2"/>
  <c r="BD25" i="2"/>
  <c r="AW25" i="2"/>
  <c r="BE25" i="2"/>
  <c r="BG25" i="2"/>
  <c r="AX25" i="2"/>
  <c r="BH25" i="2"/>
  <c r="BJ25" i="2" s="1"/>
  <c r="AY25" i="2"/>
  <c r="AZ25" i="2"/>
  <c r="BV24" i="2"/>
  <c r="BX24" i="2" s="1"/>
  <c r="CO24" i="2"/>
  <c r="AR24" i="2"/>
  <c r="CI24" i="2"/>
  <c r="CN24" i="2"/>
  <c r="AT23" i="2"/>
  <c r="CR23" i="2"/>
  <c r="CT23" i="2" s="1"/>
  <c r="CH24" i="2"/>
  <c r="CK24" i="2"/>
  <c r="CL24" i="2"/>
  <c r="CP24" i="2"/>
  <c r="CQ24" i="2"/>
  <c r="CM24" i="2"/>
  <c r="BB24" i="2"/>
  <c r="BU25" i="2"/>
  <c r="BQ25" i="2"/>
  <c r="BM25" i="2"/>
  <c r="AQ25" i="2"/>
  <c r="AM25" i="2"/>
  <c r="AI25" i="2"/>
  <c r="BZ25" i="2"/>
  <c r="BS25" i="2"/>
  <c r="BN25" i="2"/>
  <c r="AN25" i="2"/>
  <c r="AH25" i="2"/>
  <c r="BP25" i="2"/>
  <c r="AK25" i="2"/>
  <c r="AF26" i="2"/>
  <c r="BR25" i="2"/>
  <c r="BL25" i="2"/>
  <c r="AL25" i="2"/>
  <c r="AP25" i="2"/>
  <c r="BO25" i="2"/>
  <c r="BT25" i="2"/>
  <c r="AO25" i="2"/>
  <c r="AJ25" i="2"/>
  <c r="CJ24" i="2"/>
  <c r="CB26" i="2" l="1"/>
  <c r="CC26" i="2"/>
  <c r="CD26" i="2"/>
  <c r="CF26" i="2" s="1"/>
  <c r="BE26" i="2"/>
  <c r="BD26" i="2"/>
  <c r="AW26" i="2"/>
  <c r="BG26" i="2"/>
  <c r="AX26" i="2"/>
  <c r="CA26" i="2"/>
  <c r="BH26" i="2"/>
  <c r="BJ26" i="2" s="1"/>
  <c r="AY26" i="2"/>
  <c r="BF26" i="2"/>
  <c r="AZ26" i="2"/>
  <c r="CO25" i="2"/>
  <c r="CQ25" i="2"/>
  <c r="BV25" i="2"/>
  <c r="BX25" i="2" s="1"/>
  <c r="CJ25" i="2"/>
  <c r="CP25" i="2"/>
  <c r="CL25" i="2"/>
  <c r="BZ26" i="2"/>
  <c r="BT26" i="2"/>
  <c r="BP26" i="2"/>
  <c r="BL26" i="2"/>
  <c r="AP26" i="2"/>
  <c r="AL26" i="2"/>
  <c r="AH26" i="2"/>
  <c r="BS26" i="2"/>
  <c r="BN26" i="2"/>
  <c r="AN26" i="2"/>
  <c r="AI26" i="2"/>
  <c r="AQ26" i="2"/>
  <c r="BR26" i="2"/>
  <c r="BM26" i="2"/>
  <c r="AM26" i="2"/>
  <c r="BQ26" i="2"/>
  <c r="AK26" i="2"/>
  <c r="AO26" i="2"/>
  <c r="BU26" i="2"/>
  <c r="AJ26" i="2"/>
  <c r="AF27" i="2"/>
  <c r="BO26" i="2"/>
  <c r="CM25" i="2"/>
  <c r="CK25" i="2"/>
  <c r="CH25" i="2"/>
  <c r="BB25" i="2"/>
  <c r="CR24" i="2"/>
  <c r="CT24" i="2" s="1"/>
  <c r="AT24" i="2"/>
  <c r="CN25" i="2"/>
  <c r="CI25" i="2"/>
  <c r="AR25" i="2"/>
  <c r="CC27" i="2" l="1"/>
  <c r="CB27" i="2"/>
  <c r="CD27" i="2"/>
  <c r="CF27" i="2" s="1"/>
  <c r="BD27" i="2"/>
  <c r="BH27" i="2"/>
  <c r="BJ27" i="2" s="1"/>
  <c r="BE27" i="2"/>
  <c r="AW27" i="2"/>
  <c r="AY27" i="2"/>
  <c r="AZ27" i="2"/>
  <c r="CA27" i="2"/>
  <c r="BF27" i="2"/>
  <c r="BG27" i="2"/>
  <c r="AX27" i="2"/>
  <c r="BB26" i="2"/>
  <c r="CH26" i="2"/>
  <c r="CJ26" i="2"/>
  <c r="CL26" i="2"/>
  <c r="CP26" i="2"/>
  <c r="CK26" i="2"/>
  <c r="CO26" i="2"/>
  <c r="AR26" i="2"/>
  <c r="CI26" i="2"/>
  <c r="CR25" i="2"/>
  <c r="CT25" i="2" s="1"/>
  <c r="AT25" i="2"/>
  <c r="BZ27" i="2"/>
  <c r="BT27" i="2"/>
  <c r="BP27" i="2"/>
  <c r="BL27" i="2"/>
  <c r="AP27" i="2"/>
  <c r="AL27" i="2"/>
  <c r="AH27" i="2"/>
  <c r="BQ27" i="2"/>
  <c r="AQ27" i="2"/>
  <c r="AK27" i="2"/>
  <c r="BS27" i="2"/>
  <c r="AN27" i="2"/>
  <c r="AF28" i="2"/>
  <c r="BU27" i="2"/>
  <c r="BO27" i="2"/>
  <c r="AO27" i="2"/>
  <c r="AJ27" i="2"/>
  <c r="BN27" i="2"/>
  <c r="AI27" i="2"/>
  <c r="BM27" i="2"/>
  <c r="AM27" i="2"/>
  <c r="BR27" i="2"/>
  <c r="CM26" i="2"/>
  <c r="CQ26" i="2"/>
  <c r="CN26" i="2"/>
  <c r="BV26" i="2"/>
  <c r="BX26" i="2" s="1"/>
  <c r="CB28" i="2" l="1"/>
  <c r="CD28" i="2"/>
  <c r="CF28" i="2" s="1"/>
  <c r="CC28" i="2"/>
  <c r="BG28" i="2"/>
  <c r="CA28" i="2"/>
  <c r="BE28" i="2"/>
  <c r="AW28" i="2"/>
  <c r="BD28" i="2"/>
  <c r="AZ28" i="2"/>
  <c r="BF28" i="2"/>
  <c r="BH28" i="2"/>
  <c r="BJ28" i="2" s="1"/>
  <c r="AX28" i="2"/>
  <c r="AY28" i="2"/>
  <c r="BV27" i="2"/>
  <c r="BX27" i="2" s="1"/>
  <c r="BB27" i="2"/>
  <c r="CM27" i="2"/>
  <c r="CP27" i="2"/>
  <c r="CH27" i="2"/>
  <c r="CO27" i="2"/>
  <c r="CN27" i="2"/>
  <c r="CR26" i="2"/>
  <c r="CT26" i="2" s="1"/>
  <c r="AT26" i="2"/>
  <c r="CK27" i="2"/>
  <c r="CQ27" i="2"/>
  <c r="CI27" i="2"/>
  <c r="AR27" i="2"/>
  <c r="CJ27" i="2"/>
  <c r="BZ28" i="2"/>
  <c r="BT28" i="2"/>
  <c r="BP28" i="2"/>
  <c r="BL28" i="2"/>
  <c r="AP28" i="2"/>
  <c r="AL28" i="2"/>
  <c r="AH28" i="2"/>
  <c r="BS28" i="2"/>
  <c r="BN28" i="2"/>
  <c r="AN28" i="2"/>
  <c r="AI28" i="2"/>
  <c r="BQ28" i="2"/>
  <c r="AQ28" i="2"/>
  <c r="BR28" i="2"/>
  <c r="BM28" i="2"/>
  <c r="AM28" i="2"/>
  <c r="AK28" i="2"/>
  <c r="AF29" i="2"/>
  <c r="BO28" i="2"/>
  <c r="AO28" i="2"/>
  <c r="BU28" i="2"/>
  <c r="AJ28" i="2"/>
  <c r="CL27" i="2"/>
  <c r="CC29" i="2" l="1"/>
  <c r="CB29" i="2"/>
  <c r="CD29" i="2"/>
  <c r="CF29" i="2" s="1"/>
  <c r="CA29" i="2"/>
  <c r="BF29" i="2"/>
  <c r="BE29" i="2"/>
  <c r="AW29" i="2"/>
  <c r="BG29" i="2"/>
  <c r="BH29" i="2"/>
  <c r="BJ29" i="2" s="1"/>
  <c r="AX29" i="2"/>
  <c r="AY29" i="2"/>
  <c r="BD29" i="2"/>
  <c r="AZ29" i="2"/>
  <c r="BB28" i="2"/>
  <c r="CO28" i="2"/>
  <c r="CH28" i="2"/>
  <c r="CP28" i="2"/>
  <c r="CK28" i="2"/>
  <c r="CM28" i="2"/>
  <c r="CQ28" i="2"/>
  <c r="CJ28" i="2"/>
  <c r="BV28" i="2"/>
  <c r="BX28" i="2" s="1"/>
  <c r="AR28" i="2"/>
  <c r="CI28" i="2"/>
  <c r="BZ29" i="2"/>
  <c r="BT29" i="2"/>
  <c r="BP29" i="2"/>
  <c r="BL29" i="2"/>
  <c r="AP29" i="2"/>
  <c r="AL29" i="2"/>
  <c r="AH29" i="2"/>
  <c r="BQ29" i="2"/>
  <c r="AQ29" i="2"/>
  <c r="AK29" i="2"/>
  <c r="BN29" i="2"/>
  <c r="AN29" i="2"/>
  <c r="AF30" i="2"/>
  <c r="BU29" i="2"/>
  <c r="BO29" i="2"/>
  <c r="AO29" i="2"/>
  <c r="AJ29" i="2"/>
  <c r="BS29" i="2"/>
  <c r="AI29" i="2"/>
  <c r="BR29" i="2"/>
  <c r="BM29" i="2"/>
  <c r="AM29" i="2"/>
  <c r="CN28" i="2"/>
  <c r="CR27" i="2"/>
  <c r="CT27" i="2" s="1"/>
  <c r="AT27" i="2"/>
  <c r="CL28" i="2"/>
  <c r="CB30" i="2" l="1"/>
  <c r="CC30" i="2"/>
  <c r="CD30" i="2"/>
  <c r="CF30" i="2" s="1"/>
  <c r="BE30" i="2"/>
  <c r="BF30" i="2"/>
  <c r="AW30" i="2"/>
  <c r="BH30" i="2"/>
  <c r="BJ30" i="2" s="1"/>
  <c r="AX30" i="2"/>
  <c r="AY30" i="2"/>
  <c r="BD30" i="2"/>
  <c r="BG30" i="2"/>
  <c r="AZ30" i="2"/>
  <c r="CA30" i="2"/>
  <c r="BV29" i="2"/>
  <c r="BX29" i="2" s="1"/>
  <c r="CJ29" i="2"/>
  <c r="BZ30" i="2"/>
  <c r="BT30" i="2"/>
  <c r="BP30" i="2"/>
  <c r="BL30" i="2"/>
  <c r="AP30" i="2"/>
  <c r="AL30" i="2"/>
  <c r="AH30" i="2"/>
  <c r="AF31" i="2"/>
  <c r="BS30" i="2"/>
  <c r="BN30" i="2"/>
  <c r="AN30" i="2"/>
  <c r="AI30" i="2"/>
  <c r="AQ30" i="2"/>
  <c r="BR30" i="2"/>
  <c r="BM30" i="2"/>
  <c r="AM30" i="2"/>
  <c r="BQ30" i="2"/>
  <c r="AK30" i="2"/>
  <c r="AO30" i="2"/>
  <c r="BU30" i="2"/>
  <c r="AJ30" i="2"/>
  <c r="BO30" i="2"/>
  <c r="CK29" i="2"/>
  <c r="CO29" i="2"/>
  <c r="CN29" i="2"/>
  <c r="CQ29" i="2"/>
  <c r="CH29" i="2"/>
  <c r="CR28" i="2"/>
  <c r="CT28" i="2" s="1"/>
  <c r="AT28" i="2"/>
  <c r="CM29" i="2"/>
  <c r="CI29" i="2"/>
  <c r="AR29" i="2"/>
  <c r="BB29" i="2"/>
  <c r="CL29" i="2"/>
  <c r="CP29" i="2"/>
  <c r="CB31" i="2" l="1"/>
  <c r="CC31" i="2"/>
  <c r="CD31" i="2"/>
  <c r="CF31" i="2" s="1"/>
  <c r="BD31" i="2"/>
  <c r="BH31" i="2"/>
  <c r="BJ31" i="2" s="1"/>
  <c r="BF31" i="2"/>
  <c r="AW31" i="2"/>
  <c r="CA31" i="2"/>
  <c r="AY31" i="2"/>
  <c r="BE31" i="2"/>
  <c r="AZ31" i="2"/>
  <c r="BG31" i="2"/>
  <c r="AX31" i="2"/>
  <c r="BB30" i="2"/>
  <c r="CP30" i="2"/>
  <c r="CJ30" i="2"/>
  <c r="CH30" i="2"/>
  <c r="CL30" i="2"/>
  <c r="CR29" i="2"/>
  <c r="CT29" i="2" s="1"/>
  <c r="AT29" i="2"/>
  <c r="BV30" i="2"/>
  <c r="BX30" i="2" s="1"/>
  <c r="CN30" i="2"/>
  <c r="AF32" i="2"/>
  <c r="BZ31" i="2"/>
  <c r="BT31" i="2"/>
  <c r="BP31" i="2"/>
  <c r="BL31" i="2"/>
  <c r="AP31" i="2"/>
  <c r="AL31" i="2"/>
  <c r="AH31" i="2"/>
  <c r="BS31" i="2"/>
  <c r="BO31" i="2"/>
  <c r="AO31" i="2"/>
  <c r="AK31" i="2"/>
  <c r="BU31" i="2"/>
  <c r="BM31" i="2"/>
  <c r="AM31" i="2"/>
  <c r="AQ31" i="2"/>
  <c r="BR31" i="2"/>
  <c r="AJ31" i="2"/>
  <c r="BQ31" i="2"/>
  <c r="AI31" i="2"/>
  <c r="BN31" i="2"/>
  <c r="AN31" i="2"/>
  <c r="CK30" i="2"/>
  <c r="CO30" i="2"/>
  <c r="CM30" i="2"/>
  <c r="CQ30" i="2"/>
  <c r="AR30" i="2"/>
  <c r="CI30" i="2"/>
  <c r="CB32" i="2" l="1"/>
  <c r="CC32" i="2"/>
  <c r="CD32" i="2"/>
  <c r="CF32" i="2" s="1"/>
  <c r="BG32" i="2"/>
  <c r="BF32" i="2"/>
  <c r="AW32" i="2"/>
  <c r="BE32" i="2"/>
  <c r="AZ32" i="2"/>
  <c r="CA32" i="2"/>
  <c r="BH32" i="2"/>
  <c r="BJ32" i="2" s="1"/>
  <c r="BD32" i="2"/>
  <c r="AX32" i="2"/>
  <c r="AY32" i="2"/>
  <c r="CO31" i="2"/>
  <c r="CL31" i="2"/>
  <c r="CK31" i="2"/>
  <c r="CP31" i="2"/>
  <c r="CN31" i="2"/>
  <c r="CJ31" i="2"/>
  <c r="CQ31" i="2"/>
  <c r="CI31" i="2"/>
  <c r="AR31" i="2"/>
  <c r="CM31" i="2"/>
  <c r="BV31" i="2"/>
  <c r="BX31" i="2" s="1"/>
  <c r="AF33" i="2"/>
  <c r="BS32" i="2"/>
  <c r="BO32" i="2"/>
  <c r="AO32" i="2"/>
  <c r="AK32" i="2"/>
  <c r="BR32" i="2"/>
  <c r="BN32" i="2"/>
  <c r="AN32" i="2"/>
  <c r="AJ32" i="2"/>
  <c r="BU32" i="2"/>
  <c r="BM32" i="2"/>
  <c r="AM32" i="2"/>
  <c r="AI32" i="2"/>
  <c r="BT32" i="2"/>
  <c r="BL32" i="2"/>
  <c r="AL32" i="2"/>
  <c r="BQ32" i="2"/>
  <c r="AQ32" i="2"/>
  <c r="BZ32" i="2"/>
  <c r="BP32" i="2"/>
  <c r="AP32" i="2"/>
  <c r="AH32" i="2"/>
  <c r="AT30" i="2"/>
  <c r="CR30" i="2"/>
  <c r="CT30" i="2" s="1"/>
  <c r="BB31" i="2"/>
  <c r="CH31" i="2"/>
  <c r="CC33" i="2" l="1"/>
  <c r="CB33" i="2"/>
  <c r="CD33" i="2"/>
  <c r="CF33" i="2" s="1"/>
  <c r="CA33" i="2"/>
  <c r="BF33" i="2"/>
  <c r="BG33" i="2"/>
  <c r="AW33" i="2"/>
  <c r="BH33" i="2"/>
  <c r="BJ33" i="2" s="1"/>
  <c r="AX33" i="2"/>
  <c r="BD33" i="2"/>
  <c r="AY33" i="2"/>
  <c r="AZ33" i="2"/>
  <c r="BE33" i="2"/>
  <c r="BB32" i="2"/>
  <c r="CO32" i="2"/>
  <c r="CP32" i="2"/>
  <c r="CJ32" i="2"/>
  <c r="CK32" i="2"/>
  <c r="CQ32" i="2"/>
  <c r="AT31" i="2"/>
  <c r="CR31" i="2"/>
  <c r="CT31" i="2" s="1"/>
  <c r="CH32" i="2"/>
  <c r="AF34" i="2"/>
  <c r="BS33" i="2"/>
  <c r="BO33" i="2"/>
  <c r="AO33" i="2"/>
  <c r="AK33" i="2"/>
  <c r="BR33" i="2"/>
  <c r="BN33" i="2"/>
  <c r="AN33" i="2"/>
  <c r="AJ33" i="2"/>
  <c r="BQ33" i="2"/>
  <c r="AQ33" i="2"/>
  <c r="AI33" i="2"/>
  <c r="BZ33" i="2"/>
  <c r="BP33" i="2"/>
  <c r="AP33" i="2"/>
  <c r="AH33" i="2"/>
  <c r="BU33" i="2"/>
  <c r="BM33" i="2"/>
  <c r="AM33" i="2"/>
  <c r="BL33" i="2"/>
  <c r="AL33" i="2"/>
  <c r="BT33" i="2"/>
  <c r="AR32" i="2"/>
  <c r="CI32" i="2"/>
  <c r="CL32" i="2"/>
  <c r="CM32" i="2"/>
  <c r="BV32" i="2"/>
  <c r="BX32" i="2" s="1"/>
  <c r="CN32" i="2"/>
  <c r="BV33" i="2" l="1"/>
  <c r="BX33" i="2" s="1"/>
  <c r="CB34" i="2"/>
  <c r="CD34" i="2"/>
  <c r="CF34" i="2" s="1"/>
  <c r="CC34" i="2"/>
  <c r="BE34" i="2"/>
  <c r="CA34" i="2"/>
  <c r="BG34" i="2"/>
  <c r="AW34" i="2"/>
  <c r="AX34" i="2"/>
  <c r="BD34" i="2"/>
  <c r="AY34" i="2"/>
  <c r="BF34" i="2"/>
  <c r="AZ34" i="2"/>
  <c r="BH34" i="2"/>
  <c r="BJ34" i="2" s="1"/>
  <c r="BB33" i="2"/>
  <c r="CJ33" i="2"/>
  <c r="CK33" i="2"/>
  <c r="CN33" i="2"/>
  <c r="CL33" i="2"/>
  <c r="CO33" i="2"/>
  <c r="CP33" i="2"/>
  <c r="AR33" i="2"/>
  <c r="CI33" i="2"/>
  <c r="AT32" i="2"/>
  <c r="AS48" i="2" s="1"/>
  <c r="CR32" i="2"/>
  <c r="CT32" i="2" s="1"/>
  <c r="CM33" i="2"/>
  <c r="CQ33" i="2"/>
  <c r="CH33" i="2"/>
  <c r="AF35" i="2"/>
  <c r="BS34" i="2"/>
  <c r="BO34" i="2"/>
  <c r="AO34" i="2"/>
  <c r="AK34" i="2"/>
  <c r="BR34" i="2"/>
  <c r="BN34" i="2"/>
  <c r="AN34" i="2"/>
  <c r="AJ34" i="2"/>
  <c r="BU34" i="2"/>
  <c r="BM34" i="2"/>
  <c r="AM34" i="2"/>
  <c r="BT34" i="2"/>
  <c r="BL34" i="2"/>
  <c r="AL34" i="2"/>
  <c r="BQ34" i="2"/>
  <c r="AQ34" i="2"/>
  <c r="AI34" i="2"/>
  <c r="AH34" i="2"/>
  <c r="BP34" i="2"/>
  <c r="BZ34" i="2"/>
  <c r="AP34" i="2"/>
  <c r="CD35" i="2" l="1"/>
  <c r="CF35" i="2" s="1"/>
  <c r="CB35" i="2"/>
  <c r="CC35" i="2"/>
  <c r="BD35" i="2"/>
  <c r="BH35" i="2"/>
  <c r="BJ35" i="2" s="1"/>
  <c r="BG35" i="2"/>
  <c r="AW35" i="2"/>
  <c r="BE35" i="2"/>
  <c r="AY35" i="2"/>
  <c r="BF35" i="2"/>
  <c r="AZ35" i="2"/>
  <c r="CA35" i="2"/>
  <c r="AX35" i="2"/>
  <c r="CF3" i="2"/>
  <c r="CF4" i="2" s="1"/>
  <c r="CK34" i="2"/>
  <c r="CP34" i="2"/>
  <c r="CO34" i="2"/>
  <c r="CJ34" i="2"/>
  <c r="AR34" i="2"/>
  <c r="CI34" i="2"/>
  <c r="CL34" i="2"/>
  <c r="BB34" i="2"/>
  <c r="CQ34" i="2"/>
  <c r="AF36" i="2"/>
  <c r="BS35" i="2"/>
  <c r="BO35" i="2"/>
  <c r="AO35" i="2"/>
  <c r="AK35" i="2"/>
  <c r="BR35" i="2"/>
  <c r="BN35" i="2"/>
  <c r="AN35" i="2"/>
  <c r="AJ35" i="2"/>
  <c r="BQ35" i="2"/>
  <c r="AQ35" i="2"/>
  <c r="AI35" i="2"/>
  <c r="BU35" i="2"/>
  <c r="AM35" i="2"/>
  <c r="BZ35" i="2"/>
  <c r="BP35" i="2"/>
  <c r="AP35" i="2"/>
  <c r="AH35" i="2"/>
  <c r="BM35" i="2"/>
  <c r="BT35" i="2"/>
  <c r="BL35" i="2"/>
  <c r="AL35" i="2"/>
  <c r="AT33" i="2"/>
  <c r="CR33" i="2"/>
  <c r="CT33" i="2" s="1"/>
  <c r="CH34" i="2"/>
  <c r="CM34" i="2"/>
  <c r="BV34" i="2"/>
  <c r="BX34" i="2" s="1"/>
  <c r="CN34" i="2"/>
  <c r="CB36" i="2" l="1"/>
  <c r="CC36" i="2"/>
  <c r="CD36" i="2"/>
  <c r="CF36" i="2" s="1"/>
  <c r="BG36" i="2"/>
  <c r="BH36" i="2"/>
  <c r="BJ36" i="2" s="1"/>
  <c r="AW36" i="2"/>
  <c r="BF36" i="2"/>
  <c r="AZ36" i="2"/>
  <c r="BD36" i="2"/>
  <c r="CA36" i="2"/>
  <c r="BE36" i="2"/>
  <c r="AX36" i="2"/>
  <c r="AY36" i="2"/>
  <c r="BV35" i="2"/>
  <c r="BX35" i="2" s="1"/>
  <c r="BX4" i="2" s="1"/>
  <c r="BB35" i="2"/>
  <c r="CM35" i="2"/>
  <c r="CN35" i="2"/>
  <c r="CO35" i="2"/>
  <c r="CQ35" i="2"/>
  <c r="CK35" i="2"/>
  <c r="AF37" i="2"/>
  <c r="BS36" i="2"/>
  <c r="BO36" i="2"/>
  <c r="AO36" i="2"/>
  <c r="AK36" i="2"/>
  <c r="BR36" i="2"/>
  <c r="BN36" i="2"/>
  <c r="AN36" i="2"/>
  <c r="AJ36" i="2"/>
  <c r="BU36" i="2"/>
  <c r="BM36" i="2"/>
  <c r="AM36" i="2"/>
  <c r="BT36" i="2"/>
  <c r="BL36" i="2"/>
  <c r="AL36" i="2"/>
  <c r="BQ36" i="2"/>
  <c r="AQ36" i="2"/>
  <c r="AI36" i="2"/>
  <c r="BZ36" i="2"/>
  <c r="BP36" i="2"/>
  <c r="AP36" i="2"/>
  <c r="AH36" i="2"/>
  <c r="CH35" i="2"/>
  <c r="CL35" i="2"/>
  <c r="CP35" i="2"/>
  <c r="AR35" i="2"/>
  <c r="CI35" i="2"/>
  <c r="CJ35" i="2"/>
  <c r="AT34" i="2"/>
  <c r="CR34" i="2"/>
  <c r="CT34" i="2" s="1"/>
  <c r="CD37" i="2" l="1"/>
  <c r="CF37" i="2" s="1"/>
  <c r="CC37" i="2"/>
  <c r="CB37" i="2"/>
  <c r="CA37" i="2"/>
  <c r="BF37" i="2"/>
  <c r="BH37" i="2"/>
  <c r="BJ37" i="2" s="1"/>
  <c r="AW37" i="2"/>
  <c r="BD37" i="2"/>
  <c r="AX37" i="2"/>
  <c r="BE37" i="2"/>
  <c r="BG37" i="2"/>
  <c r="AY37" i="2"/>
  <c r="AZ37" i="2"/>
  <c r="CK36" i="2"/>
  <c r="CO36" i="2"/>
  <c r="CH36" i="2"/>
  <c r="CQ36" i="2"/>
  <c r="CN36" i="2"/>
  <c r="AF38" i="2"/>
  <c r="BS37" i="2"/>
  <c r="BO37" i="2"/>
  <c r="AO37" i="2"/>
  <c r="AK37" i="2"/>
  <c r="BR37" i="2"/>
  <c r="BN37" i="2"/>
  <c r="AN37" i="2"/>
  <c r="AJ37" i="2"/>
  <c r="BQ37" i="2"/>
  <c r="AQ37" i="2"/>
  <c r="AI37" i="2"/>
  <c r="BU37" i="2"/>
  <c r="BM37" i="2"/>
  <c r="BZ37" i="2"/>
  <c r="BP37" i="2"/>
  <c r="AP37" i="2"/>
  <c r="AH37" i="2"/>
  <c r="AM37" i="2"/>
  <c r="BT37" i="2"/>
  <c r="BL37" i="2"/>
  <c r="AL37" i="2"/>
  <c r="CJ36" i="2"/>
  <c r="CL36" i="2"/>
  <c r="CM36" i="2"/>
  <c r="BV36" i="2"/>
  <c r="BX36" i="2" s="1"/>
  <c r="CP36" i="2"/>
  <c r="AT35" i="2"/>
  <c r="CR35" i="2"/>
  <c r="CT35" i="2" s="1"/>
  <c r="AR36" i="2"/>
  <c r="CI36" i="2"/>
  <c r="BB36" i="2"/>
  <c r="CB38" i="2" l="1"/>
  <c r="CB39" i="2" s="1"/>
  <c r="CC38" i="2"/>
  <c r="CC39" i="2" s="1"/>
  <c r="CD38" i="2"/>
  <c r="CF38" i="2" s="1"/>
  <c r="BE38" i="2"/>
  <c r="BH38" i="2"/>
  <c r="BJ38" i="2" s="1"/>
  <c r="AW38" i="2"/>
  <c r="CA38" i="2"/>
  <c r="BD38" i="2"/>
  <c r="BD39" i="2" s="1"/>
  <c r="AX38" i="2"/>
  <c r="AX39" i="2" s="1"/>
  <c r="BF38" i="2"/>
  <c r="BF39" i="2" s="1"/>
  <c r="AY38" i="2"/>
  <c r="AY39" i="2" s="1"/>
  <c r="AZ38" i="2"/>
  <c r="BG38" i="2"/>
  <c r="BG39" i="2" s="1"/>
  <c r="BB37" i="2"/>
  <c r="BV37" i="2"/>
  <c r="BX37" i="2" s="1"/>
  <c r="CO37" i="2"/>
  <c r="CK37" i="2"/>
  <c r="CP37" i="2"/>
  <c r="AR37" i="2"/>
  <c r="CI37" i="2"/>
  <c r="CJ37" i="2"/>
  <c r="CL37" i="2"/>
  <c r="CM37" i="2"/>
  <c r="CH37" i="2"/>
  <c r="CQ37" i="2"/>
  <c r="CN37" i="2"/>
  <c r="AT36" i="2"/>
  <c r="CR36" i="2"/>
  <c r="CT36" i="2" s="1"/>
  <c r="BS38" i="2"/>
  <c r="BS39" i="2" s="1"/>
  <c r="BO38" i="2"/>
  <c r="BO39" i="2" s="1"/>
  <c r="AO38" i="2"/>
  <c r="AK38" i="2"/>
  <c r="BR38" i="2"/>
  <c r="BR39" i="2" s="1"/>
  <c r="BN38" i="2"/>
  <c r="BN39" i="2" s="1"/>
  <c r="AN38" i="2"/>
  <c r="AJ38" i="2"/>
  <c r="BU38" i="2"/>
  <c r="BU39" i="2" s="1"/>
  <c r="BM38" i="2"/>
  <c r="AM38" i="2"/>
  <c r="BQ38" i="2"/>
  <c r="BQ39" i="2" s="1"/>
  <c r="AQ38" i="2"/>
  <c r="BT38" i="2"/>
  <c r="BT39" i="2" s="1"/>
  <c r="BL38" i="2"/>
  <c r="BL39" i="2" s="1"/>
  <c r="AL38" i="2"/>
  <c r="AI38" i="2"/>
  <c r="AH38" i="2"/>
  <c r="BZ38" i="2"/>
  <c r="BZ39" i="2" s="1"/>
  <c r="AP38" i="2"/>
  <c r="BP38" i="2"/>
  <c r="BP39" i="2" s="1"/>
  <c r="BH39" i="2" l="1"/>
  <c r="CD39" i="2"/>
  <c r="CL38" i="2"/>
  <c r="CL39" i="2" s="1"/>
  <c r="AL39" i="2"/>
  <c r="BE39" i="2"/>
  <c r="CH38" i="2"/>
  <c r="CH39" i="2" s="1"/>
  <c r="AH39" i="2"/>
  <c r="CJ38" i="2"/>
  <c r="CJ39" i="2" s="1"/>
  <c r="AJ39" i="2"/>
  <c r="CA39" i="2"/>
  <c r="CM38" i="2"/>
  <c r="CM39" i="2" s="1"/>
  <c r="AM39" i="2"/>
  <c r="BV38" i="2"/>
  <c r="BM39" i="2"/>
  <c r="CN38" i="2"/>
  <c r="CN39" i="2" s="1"/>
  <c r="AN39" i="2"/>
  <c r="CK38" i="2"/>
  <c r="CK39" i="2" s="1"/>
  <c r="AK39" i="2"/>
  <c r="CP38" i="2"/>
  <c r="CP39" i="2" s="1"/>
  <c r="AP39" i="2"/>
  <c r="AR38" i="2"/>
  <c r="CI38" i="2"/>
  <c r="CI39" i="2" s="1"/>
  <c r="AI39" i="2"/>
  <c r="CQ38" i="2"/>
  <c r="CQ39" i="2" s="1"/>
  <c r="AQ39" i="2"/>
  <c r="AW39" i="2"/>
  <c r="CO38" i="2"/>
  <c r="CO39" i="2" s="1"/>
  <c r="AO39" i="2"/>
  <c r="AT37" i="2"/>
  <c r="CR37" i="2"/>
  <c r="CT37" i="2" s="1"/>
  <c r="BJ39" i="2" l="1"/>
  <c r="BB38" i="2"/>
  <c r="BB39" i="2" s="1"/>
  <c r="AZ39" i="2"/>
  <c r="AT38" i="2"/>
  <c r="AT39" i="2" s="1"/>
  <c r="AT42" i="2" s="1"/>
  <c r="AR43" i="2" s="1"/>
  <c r="AR48" i="2" s="1"/>
  <c r="AT48" i="2" s="1"/>
  <c r="CR38" i="2"/>
  <c r="AR39" i="2"/>
  <c r="BX38" i="2"/>
  <c r="BX39" i="2" s="1"/>
  <c r="BV39" i="2"/>
  <c r="CF39" i="2"/>
  <c r="CT38" i="2" l="1"/>
  <c r="CT39" i="2" s="1"/>
  <c r="CR39" i="2"/>
  <c r="AW985" i="1" l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AA985" i="1"/>
  <c r="Z985" i="1"/>
  <c r="Y985" i="1"/>
  <c r="AD12" i="2"/>
  <c r="AD13" i="2" l="1"/>
  <c r="CO45" i="2" s="1"/>
  <c r="AA13" i="2"/>
  <c r="X14" i="2" l="1"/>
  <c r="X16" i="2" s="1"/>
  <c r="CO44" i="2"/>
  <c r="CO48" i="2" l="1"/>
  <c r="CO49" i="2"/>
  <c r="CO51" i="2" s="1"/>
  <c r="CO53" i="2" s="1"/>
</calcChain>
</file>

<file path=xl/sharedStrings.xml><?xml version="1.0" encoding="utf-8"?>
<sst xmlns="http://schemas.openxmlformats.org/spreadsheetml/2006/main" count="9892" uniqueCount="136">
  <si>
    <t>Fuddruckers - 01/11/2025 - 30/11/2025</t>
  </si>
  <si>
    <t>Sales Summary Talabat Delivery</t>
  </si>
  <si>
    <t>Order information</t>
  </si>
  <si>
    <t>Sale Detail</t>
  </si>
  <si>
    <t>Additional Information</t>
  </si>
  <si>
    <t>Discounts</t>
  </si>
  <si>
    <t>Due to Talabat</t>
  </si>
  <si>
    <t>Net Payment Per Order</t>
  </si>
  <si>
    <t>Payment Method</t>
  </si>
  <si>
    <t>Status</t>
  </si>
  <si>
    <t>Number of Orders</t>
  </si>
  <si>
    <t>Subtotal</t>
  </si>
  <si>
    <t>Delivery Fee</t>
  </si>
  <si>
    <t>Service Fee</t>
  </si>
  <si>
    <t>Cash On Delivery Fee</t>
  </si>
  <si>
    <t>Total Sale</t>
  </si>
  <si>
    <t>Commissionable GMV</t>
  </si>
  <si>
    <t>Commission</t>
  </si>
  <si>
    <t>Restaurant Id</t>
  </si>
  <si>
    <t>Restaurant</t>
  </si>
  <si>
    <t>Branch Id</t>
  </si>
  <si>
    <t>Branch</t>
  </si>
  <si>
    <t>Order Id</t>
  </si>
  <si>
    <t>Date / Time</t>
  </si>
  <si>
    <t>Service Type</t>
  </si>
  <si>
    <t>Is TPro</t>
  </si>
  <si>
    <t>VAT Type</t>
  </si>
  <si>
    <t>Rider Payment Type</t>
  </si>
  <si>
    <t>Delivery Charges Included in Commission</t>
  </si>
  <si>
    <t>SubTotal</t>
  </si>
  <si>
    <t>Item Level Order SubTotal</t>
  </si>
  <si>
    <t>Delivery Charges</t>
  </si>
  <si>
    <t>Small Order Fee</t>
  </si>
  <si>
    <t>VAT Amount</t>
  </si>
  <si>
    <t>Original Amount</t>
  </si>
  <si>
    <t>Partial Refund Cost to Talabat</t>
  </si>
  <si>
    <t>Voucher Discount</t>
  </si>
  <si>
    <t>Item Discount</t>
  </si>
  <si>
    <t>Voucher Cost To Talabat</t>
  </si>
  <si>
    <t>Voucher Cost To Restaurant</t>
  </si>
  <si>
    <t>Voucher Due from Talabat</t>
  </si>
  <si>
    <t>Avoidable Wait Time Fee</t>
  </si>
  <si>
    <t>Avoidable Wait Time Fee VAT</t>
  </si>
  <si>
    <t>Payment Handling Charges</t>
  </si>
  <si>
    <t>Payment Handling Charges VAT</t>
  </si>
  <si>
    <t>Original Commissionable GMV</t>
  </si>
  <si>
    <t xml:space="preserve">Commission </t>
  </si>
  <si>
    <t>Commission VAT</t>
  </si>
  <si>
    <t>FreeDeliveryFund</t>
  </si>
  <si>
    <t>Loyalty Charges Type</t>
  </si>
  <si>
    <t>Cash</t>
  </si>
  <si>
    <t>Successful</t>
  </si>
  <si>
    <t>Fuddruckers</t>
  </si>
  <si>
    <t>Fuddruckers - Concord Plaza Mall</t>
  </si>
  <si>
    <t>Credit Card</t>
  </si>
  <si>
    <t>Talabat Delivery</t>
  </si>
  <si>
    <t>Yes</t>
  </si>
  <si>
    <t>Inclusive</t>
  </si>
  <si>
    <t>Cashless</t>
  </si>
  <si>
    <t>No</t>
  </si>
  <si>
    <t>Pro Delivery Fee Charges</t>
  </si>
  <si>
    <t>Charged Cancelled</t>
  </si>
  <si>
    <t>CASH</t>
  </si>
  <si>
    <t>Fuddruckers - New Maadi</t>
  </si>
  <si>
    <t>Debit Card</t>
  </si>
  <si>
    <t>Fuddruckers - City Stars</t>
  </si>
  <si>
    <t>Talabat Credit</t>
  </si>
  <si>
    <t>Grand Total</t>
  </si>
  <si>
    <t xml:space="preserve"> </t>
  </si>
  <si>
    <t>None</t>
  </si>
  <si>
    <t>Sales Summary Pickup Order</t>
  </si>
  <si>
    <t>Discount (Compensation for cancelled orders)</t>
  </si>
  <si>
    <t>Order date</t>
  </si>
  <si>
    <t>Cancellation reason</t>
  </si>
  <si>
    <t>Compensation amount for canceled orders</t>
  </si>
  <si>
    <t>CST - doesnt response</t>
  </si>
  <si>
    <t>Total</t>
  </si>
  <si>
    <t>Pickup</t>
  </si>
  <si>
    <t>Month</t>
  </si>
  <si>
    <t>Fuddruckers Otlob Sheet Calculation</t>
  </si>
  <si>
    <t>2% Credit Card</t>
  </si>
  <si>
    <t>Totals</t>
  </si>
  <si>
    <t>Otlob Data</t>
  </si>
  <si>
    <t>Summary</t>
  </si>
  <si>
    <t>Fuddruckers - Mohandiseen</t>
  </si>
  <si>
    <t>Fuddruckers - Mall Of Arabia</t>
  </si>
  <si>
    <t>Total Fuddruckers Egypt</t>
  </si>
  <si>
    <t>( 3 * .14 )</t>
  </si>
  <si>
    <t>Due Amount</t>
  </si>
  <si>
    <t>VAT</t>
  </si>
  <si>
    <t>Date /Branch</t>
  </si>
  <si>
    <t>Otlob Sales Comparison</t>
  </si>
  <si>
    <t>Payment</t>
  </si>
  <si>
    <t>Total Sales</t>
  </si>
  <si>
    <t>Net Sales (Commissionable GMV)</t>
  </si>
  <si>
    <t xml:space="preserve">Otlob Charges </t>
  </si>
  <si>
    <t>VAT - Otlob</t>
  </si>
  <si>
    <t>Dif.</t>
  </si>
  <si>
    <t>Otlob</t>
  </si>
  <si>
    <t>Fudds</t>
  </si>
  <si>
    <t>Otlob Charges VAT</t>
  </si>
  <si>
    <t>Order Count</t>
  </si>
  <si>
    <t>FreeDeliveryFund VAT</t>
  </si>
  <si>
    <t>VAT - Fudds</t>
  </si>
  <si>
    <t>Otlob Sales</t>
  </si>
  <si>
    <t>Fudds Sales</t>
  </si>
  <si>
    <t>Talabat</t>
  </si>
  <si>
    <t>Diff</t>
  </si>
  <si>
    <t>Refund</t>
  </si>
  <si>
    <t>Deduct Managers</t>
  </si>
  <si>
    <t xml:space="preserve">Fudd </t>
  </si>
  <si>
    <t>Taxes</t>
  </si>
  <si>
    <t xml:space="preserve">العمولة </t>
  </si>
  <si>
    <t>???</t>
  </si>
  <si>
    <t xml:space="preserve">الضريبة </t>
  </si>
  <si>
    <t>Partner Sub Fee</t>
  </si>
  <si>
    <t xml:space="preserve">اجمالى </t>
  </si>
  <si>
    <t xml:space="preserve">الصافى </t>
  </si>
  <si>
    <t>المحول</t>
  </si>
  <si>
    <t xml:space="preserve">trf march 2025 </t>
  </si>
  <si>
    <t>Date</t>
  </si>
  <si>
    <t>ID Order</t>
  </si>
  <si>
    <t>Delivery Charges vat</t>
  </si>
  <si>
    <t>Column1</t>
  </si>
  <si>
    <t>Fuddruckers - 01/12/2025 - 31/12/2025</t>
  </si>
  <si>
    <t>3333730239</t>
  </si>
  <si>
    <t>09/12/2025 07:07:04</t>
  </si>
  <si>
    <t>3335865366</t>
  </si>
  <si>
    <t>10/12/2025 09:32:56</t>
  </si>
  <si>
    <t>Lack of Delivery Men</t>
  </si>
  <si>
    <t>3343221420</t>
  </si>
  <si>
    <t>14/12/2025 08:20:52</t>
  </si>
  <si>
    <t>3354010916</t>
  </si>
  <si>
    <t>20/12/2025 09:06:26</t>
  </si>
  <si>
    <t>3362748540</t>
  </si>
  <si>
    <t>25/12/2025 06:26:56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</si>
</sst>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\ hh:mm\ AM/PM"/>
    <numFmt numFmtId="165" formatCode="#,##0;[Red]\(#,##0\)"/>
    <numFmt numFmtId="166" formatCode="[$-409]mmmm\-yyyy;@"/>
    <numFmt numFmtId="167" formatCode="&quot;ج.م.‏&quot;\ #,##0.00_-"/>
    <numFmt numFmtId="168" formatCode="_-* #,##0_-;_-* #,##0\-;_-* &quot;-&quot;??_-;_-@_-"/>
    <numFmt numFmtId="169" formatCode="dd/mm/yyyy;@"/>
    <numFmt numFmtId="170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0000FF"/>
      <name val="Calibri"/>
    </font>
    <font>
      <b/>
      <sz val="11"/>
      <color rgb="FFFFFFFF"/>
      <name val="Calibri"/>
    </font>
    <font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1"/>
      <color theme="5" tint="-0.499984740745262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</font>
    <font>
      <b/>
      <sz val="9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9"/>
      <color theme="9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E4AFF"/>
      </patternFill>
    </fill>
    <fill>
      <patternFill patternType="solid">
        <fgColor rgb="FFF700A5"/>
      </patternFill>
    </fill>
    <fill>
      <patternFill patternType="solid">
        <fgColor rgb="FFBFBFBF"/>
      </patternFill>
    </fill>
    <fill>
      <patternFill patternType="solid">
        <fgColor rgb="FFFF5A00"/>
      </patternFill>
    </fill>
    <fill>
      <patternFill patternType="solid">
        <fgColor rgb="FF00B050"/>
      </patternFill>
    </fill>
    <fill>
      <patternFill patternType="solid">
        <fgColor rgb="FF002060"/>
      </patternFill>
    </fill>
    <fill>
      <patternFill patternType="solid">
        <fgColor rgb="FFFF781F"/>
      </patternFill>
    </fill>
    <fill>
      <patternFill patternType="solid">
        <fgColor rgb="FFD9E2F3"/>
      </patternFill>
    </fill>
    <fill>
      <patternFill patternType="solid">
        <fgColor rgb="FFB4C6E7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medium">
        <color theme="3"/>
      </right>
      <top style="thick">
        <color theme="3"/>
      </top>
      <bottom style="thick">
        <color theme="3"/>
      </bottom>
      <diagonal/>
    </border>
    <border>
      <left style="medium">
        <color theme="3"/>
      </left>
      <right style="medium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4" tint="-0.499984740745262"/>
      </right>
      <top style="thick">
        <color theme="3"/>
      </top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/>
      <diagonal/>
    </border>
    <border>
      <left style="thick">
        <color theme="1" tint="0.34998626667073579"/>
      </left>
      <right/>
      <top style="thick">
        <color theme="1" tint="0.34998626667073579"/>
      </top>
      <bottom style="thick">
        <color theme="0" tint="-0.499984740745262"/>
      </bottom>
      <diagonal/>
    </border>
    <border>
      <left/>
      <right/>
      <top style="thick">
        <color theme="1" tint="0.34998626667073579"/>
      </top>
      <bottom style="thick">
        <color theme="0" tint="-0.499984740745262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ck">
        <color theme="0" tint="-0.499984740745262"/>
      </bottom>
      <diagonal/>
    </border>
    <border>
      <left/>
      <right/>
      <top style="medium">
        <color indexed="64"/>
      </top>
      <bottom style="thick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0" tint="-0.499984740745262"/>
      </bottom>
      <diagonal/>
    </border>
    <border>
      <left style="thick">
        <color theme="3"/>
      </left>
      <right/>
      <top/>
      <bottom/>
      <diagonal/>
    </border>
    <border>
      <left style="thick">
        <color theme="5" tint="-0.24994659260841701"/>
      </left>
      <right style="medium">
        <color theme="3" tint="0.39994506668294322"/>
      </right>
      <top/>
      <bottom/>
      <diagonal/>
    </border>
    <border>
      <left style="medium">
        <color theme="3" tint="0.39994506668294322"/>
      </left>
      <right style="medium">
        <color theme="3" tint="0.39994506668294322"/>
      </right>
      <top/>
      <bottom/>
      <diagonal/>
    </border>
    <border>
      <left style="medium">
        <color theme="3" tint="0.39994506668294322"/>
      </left>
      <right/>
      <top/>
      <bottom/>
      <diagonal/>
    </border>
    <border>
      <left style="medium">
        <color theme="3" tint="0.39994506668294322"/>
      </left>
      <right style="medium">
        <color theme="3" tint="0.39994506668294322"/>
      </right>
      <top/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/>
      <diagonal/>
    </border>
    <border>
      <left style="thick">
        <color theme="1" tint="0.34998626667073579"/>
      </left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/>
      <top style="thick">
        <color theme="0" tint="-0.499984740745262"/>
      </top>
      <bottom style="medium">
        <color theme="3" tint="0.59996337778862885"/>
      </bottom>
      <diagonal/>
    </border>
    <border>
      <left/>
      <right/>
      <top style="thick">
        <color theme="0" tint="-0.499984740745262"/>
      </top>
      <bottom style="medium">
        <color theme="3" tint="0.59996337778862885"/>
      </bottom>
      <diagonal/>
    </border>
    <border>
      <left/>
      <right style="medium">
        <color theme="3" tint="0.59996337778862885"/>
      </right>
      <top style="thick">
        <color theme="0" tint="-0.499984740745262"/>
      </top>
      <bottom style="medium">
        <color theme="3" tint="0.59996337778862885"/>
      </bottom>
      <diagonal/>
    </border>
    <border>
      <left/>
      <right style="thick">
        <color theme="1" tint="0.34998626667073579"/>
      </right>
      <top style="thick">
        <color theme="0" tint="-0.499984740745262"/>
      </top>
      <bottom style="medium">
        <color theme="3" tint="0.59996337778862885"/>
      </bottom>
      <diagonal/>
    </border>
    <border>
      <left style="medium">
        <color indexed="64"/>
      </left>
      <right/>
      <top style="thick">
        <color theme="0" tint="-0.499984740745262"/>
      </top>
      <bottom style="medium">
        <color indexed="64"/>
      </bottom>
      <diagonal/>
    </border>
    <border>
      <left/>
      <right/>
      <top style="thick">
        <color theme="0" tint="-0.499984740745262"/>
      </top>
      <bottom style="medium">
        <color indexed="64"/>
      </bottom>
      <diagonal/>
    </border>
    <border>
      <left/>
      <right style="medium">
        <color theme="3" tint="0.59996337778862885"/>
      </right>
      <top style="thick">
        <color theme="0" tint="-0.499984740745262"/>
      </top>
      <bottom style="medium">
        <color indexed="64"/>
      </bottom>
      <diagonal/>
    </border>
    <border>
      <left style="medium">
        <color theme="3" tint="0.59996337778862885"/>
      </left>
      <right/>
      <top style="thick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3"/>
      </left>
      <right style="medium">
        <color theme="0" tint="-0.499984740745262"/>
      </right>
      <top style="thick">
        <color theme="3"/>
      </top>
      <bottom style="thick">
        <color theme="3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3"/>
      </top>
      <bottom style="thick">
        <color theme="3"/>
      </bottom>
      <diagonal/>
    </border>
    <border>
      <left style="medium">
        <color theme="0" tint="-0.499984740745262"/>
      </left>
      <right style="thick">
        <color theme="4" tint="-0.499984740745262"/>
      </right>
      <top style="thick">
        <color theme="3"/>
      </top>
      <bottom style="thick">
        <color theme="3"/>
      </bottom>
      <diagonal/>
    </border>
    <border>
      <left style="thick">
        <color theme="5" tint="-0.24994659260841701"/>
      </left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theme="3" tint="0.399945066682943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  <border>
      <left style="thick">
        <color theme="1" tint="0.34998626667073579"/>
      </left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theme="3" tint="0.59996337778862885"/>
      </left>
      <right style="thick">
        <color theme="1" tint="0.34998626667073579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3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4" tint="-0.499984740745262"/>
      </right>
      <top/>
      <bottom style="thin">
        <color theme="0" tint="-0.499984740745262"/>
      </bottom>
      <diagonal/>
    </border>
    <border>
      <left style="thick">
        <color theme="5" tint="-0.24994659260841701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 style="medium">
        <color theme="5"/>
      </bottom>
      <diagonal/>
    </border>
    <border>
      <left style="thick">
        <color theme="1" tint="0.34998626667073579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5"/>
      </left>
      <right style="thick">
        <color theme="5"/>
      </right>
      <top style="medium">
        <color theme="5"/>
      </top>
      <bottom style="medium">
        <color theme="5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ck">
        <color theme="5" tint="-0.24994659260841701"/>
      </left>
      <right style="medium">
        <color theme="3" tint="0.39994506668294322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/>
      <bottom/>
      <diagonal/>
    </border>
    <border>
      <left style="thick">
        <color theme="1" tint="0.34998626667073579"/>
      </left>
      <right style="medium">
        <color theme="3" tint="0.59996337778862885"/>
      </right>
      <top style="medium">
        <color theme="3" tint="0.59996337778862885"/>
      </top>
      <bottom/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/>
      <diagonal/>
    </border>
    <border>
      <left/>
      <right/>
      <top style="thin">
        <color theme="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1" tint="0.34998626667073579"/>
      </left>
      <right style="medium">
        <color theme="3" tint="0.39994506668294322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theme="3" tint="0.39994506668294322"/>
      </left>
      <right style="thick">
        <color theme="1" tint="0.34998626667073579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5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199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4" fillId="7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4" fontId="0" fillId="0" borderId="0" xfId="0" applyNumberFormat="1" applyAlignment="1">
      <alignment horizontal="center" vertical="center" shrinkToFit="1"/>
    </xf>
    <xf numFmtId="4" fontId="0" fillId="0" borderId="1" xfId="0" applyNumberForma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6" fillId="0" borderId="0" xfId="0" applyNumberFormat="1" applyFont="1" applyAlignment="1">
      <alignment horizontal="center" vertical="center" shrinkToFit="1"/>
    </xf>
    <xf numFmtId="166" fontId="7" fillId="11" borderId="2" xfId="0" applyNumberFormat="1" applyFont="1" applyFill="1" applyBorder="1" applyAlignment="1">
      <alignment horizontal="center" vertical="center" shrinkToFit="1"/>
    </xf>
    <xf numFmtId="167" fontId="8" fillId="0" borderId="0" xfId="0" applyNumberFormat="1" applyFont="1" applyAlignment="1">
      <alignment horizontal="center" vertical="center"/>
    </xf>
    <xf numFmtId="9" fontId="0" fillId="0" borderId="0" xfId="2" applyFont="1" applyAlignment="1">
      <alignment horizontal="center" vertical="center" shrinkToFit="1"/>
    </xf>
    <xf numFmtId="43" fontId="0" fillId="0" borderId="0" xfId="1" applyFont="1" applyAlignment="1">
      <alignment horizontal="center" vertical="center" shrinkToFit="1"/>
    </xf>
    <xf numFmtId="4" fontId="9" fillId="0" borderId="0" xfId="0" applyNumberFormat="1" applyFont="1" applyAlignment="1">
      <alignment horizontal="center" vertical="center" shrinkToFit="1"/>
    </xf>
    <xf numFmtId="10" fontId="0" fillId="11" borderId="0" xfId="2" applyNumberFormat="1" applyFont="1" applyFill="1" applyAlignment="1">
      <alignment horizontal="center" vertical="center" shrinkToFit="1"/>
    </xf>
    <xf numFmtId="1" fontId="0" fillId="0" borderId="4" xfId="0" applyNumberFormat="1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shrinkToFit="1"/>
    </xf>
    <xf numFmtId="4" fontId="10" fillId="0" borderId="5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 shrinkToFit="1"/>
    </xf>
    <xf numFmtId="4" fontId="0" fillId="0" borderId="6" xfId="0" applyNumberFormat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 shrinkToFit="1"/>
    </xf>
    <xf numFmtId="4" fontId="0" fillId="12" borderId="7" xfId="0" applyNumberFormat="1" applyFill="1" applyBorder="1" applyAlignment="1">
      <alignment horizontal="center" vertical="center" shrinkToFit="1"/>
    </xf>
    <xf numFmtId="1" fontId="0" fillId="0" borderId="8" xfId="0" applyNumberFormat="1" applyBorder="1" applyAlignment="1">
      <alignment horizontal="center" vertical="center" shrinkToFit="1"/>
    </xf>
    <xf numFmtId="4" fontId="0" fillId="0" borderId="9" xfId="0" applyNumberFormat="1" applyBorder="1" applyAlignment="1">
      <alignment horizontal="center" vertical="center" shrinkToFit="1"/>
    </xf>
    <xf numFmtId="1" fontId="0" fillId="0" borderId="9" xfId="0" applyNumberFormat="1" applyBorder="1" applyAlignment="1">
      <alignment horizontal="center" vertical="center" shrinkToFit="1"/>
    </xf>
    <xf numFmtId="3" fontId="0" fillId="11" borderId="9" xfId="0" applyNumberFormat="1" applyFill="1" applyBorder="1" applyAlignment="1">
      <alignment horizontal="center" vertical="center" shrinkToFit="1"/>
    </xf>
    <xf numFmtId="4" fontId="11" fillId="0" borderId="9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 vertical="center" shrinkToFit="1"/>
    </xf>
    <xf numFmtId="4" fontId="0" fillId="0" borderId="11" xfId="0" applyNumberFormat="1" applyBorder="1" applyAlignment="1">
      <alignment horizontal="center" vertical="center" shrinkToFit="1"/>
    </xf>
    <xf numFmtId="4" fontId="0" fillId="0" borderId="12" xfId="0" applyNumberFormat="1" applyBorder="1" applyAlignment="1">
      <alignment horizontal="center" vertical="center" shrinkToFit="1"/>
    </xf>
    <xf numFmtId="4" fontId="0" fillId="0" borderId="13" xfId="0" applyNumberFormat="1" applyBorder="1" applyAlignment="1">
      <alignment horizontal="center" vertical="center" shrinkToFit="1"/>
    </xf>
    <xf numFmtId="4" fontId="12" fillId="0" borderId="13" xfId="0" applyNumberFormat="1" applyFont="1" applyBorder="1" applyAlignment="1">
      <alignment horizontal="left" vertical="center" indent="4"/>
    </xf>
    <xf numFmtId="4" fontId="0" fillId="0" borderId="14" xfId="0" applyNumberFormat="1" applyBorder="1" applyAlignment="1">
      <alignment horizontal="center" vertical="center" shrinkToFit="1"/>
    </xf>
    <xf numFmtId="4" fontId="0" fillId="0" borderId="15" xfId="0" applyNumberFormat="1" applyBorder="1" applyAlignment="1">
      <alignment horizontal="center" vertical="center" shrinkToFit="1"/>
    </xf>
    <xf numFmtId="4" fontId="0" fillId="0" borderId="16" xfId="0" applyNumberFormat="1" applyBorder="1" applyAlignment="1">
      <alignment horizontal="center" vertical="center" shrinkToFit="1"/>
    </xf>
    <xf numFmtId="4" fontId="11" fillId="0" borderId="16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 shrinkToFit="1"/>
    </xf>
    <xf numFmtId="4" fontId="0" fillId="0" borderId="18" xfId="0" applyNumberFormat="1" applyBorder="1" applyAlignment="1">
      <alignment horizontal="center" vertical="center" shrinkToFit="1"/>
    </xf>
    <xf numFmtId="4" fontId="0" fillId="0" borderId="19" xfId="0" applyNumberFormat="1" applyBorder="1" applyAlignment="1">
      <alignment horizontal="center" vertical="center" shrinkToFit="1"/>
    </xf>
    <xf numFmtId="4" fontId="0" fillId="0" borderId="20" xfId="0" applyNumberFormat="1" applyBorder="1" applyAlignment="1">
      <alignment horizontal="center" vertical="center" shrinkToFit="1"/>
    </xf>
    <xf numFmtId="4" fontId="0" fillId="0" borderId="19" xfId="0" applyNumberForma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 shrinkToFit="1"/>
    </xf>
    <xf numFmtId="4" fontId="5" fillId="0" borderId="16" xfId="0" applyNumberFormat="1" applyFont="1" applyBorder="1" applyAlignment="1">
      <alignment horizontal="center" vertical="center" shrinkToFit="1"/>
    </xf>
    <xf numFmtId="4" fontId="13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 shrinkToFit="1"/>
    </xf>
    <xf numFmtId="1" fontId="0" fillId="0" borderId="21" xfId="0" applyNumberFormat="1" applyBorder="1" applyAlignment="1">
      <alignment horizontal="center" vertical="center" shrinkToFit="1"/>
    </xf>
    <xf numFmtId="4" fontId="0" fillId="11" borderId="0" xfId="0" applyNumberFormat="1" applyFill="1" applyAlignment="1">
      <alignment horizontal="center" vertical="center" shrinkToFit="1"/>
    </xf>
    <xf numFmtId="3" fontId="0" fillId="0" borderId="0" xfId="0" applyNumberFormat="1" applyAlignment="1">
      <alignment horizontal="center" vertical="center" shrinkToFit="1"/>
    </xf>
    <xf numFmtId="4" fontId="14" fillId="0" borderId="0" xfId="0" applyNumberFormat="1" applyFont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 shrinkToFit="1"/>
    </xf>
    <xf numFmtId="4" fontId="0" fillId="0" borderId="22" xfId="0" applyNumberFormat="1" applyBorder="1" applyAlignment="1">
      <alignment horizontal="center" vertical="center" shrinkToFit="1"/>
    </xf>
    <xf numFmtId="4" fontId="0" fillId="0" borderId="23" xfId="0" applyNumberFormat="1" applyBorder="1" applyAlignment="1">
      <alignment horizontal="center" vertical="center" shrinkToFit="1"/>
    </xf>
    <xf numFmtId="4" fontId="0" fillId="0" borderId="24" xfId="0" applyNumberFormat="1" applyBorder="1" applyAlignment="1">
      <alignment horizontal="center" vertical="center" shrinkToFit="1"/>
    </xf>
    <xf numFmtId="4" fontId="7" fillId="0" borderId="26" xfId="0" applyNumberFormat="1" applyFont="1" applyBorder="1" applyAlignment="1">
      <alignment horizontal="center" vertical="center" shrinkToFit="1"/>
    </xf>
    <xf numFmtId="4" fontId="0" fillId="0" borderId="27" xfId="0" applyNumberFormat="1" applyBorder="1" applyAlignment="1">
      <alignment horizontal="center" vertical="center" shrinkToFit="1"/>
    </xf>
    <xf numFmtId="4" fontId="0" fillId="0" borderId="28" xfId="0" applyNumberFormat="1" applyBorder="1" applyAlignment="1">
      <alignment horizontal="center" vertical="center" shrinkToFit="1"/>
    </xf>
    <xf numFmtId="4" fontId="0" fillId="0" borderId="29" xfId="0" applyNumberFormat="1" applyBorder="1" applyAlignment="1">
      <alignment horizontal="center" vertical="center" shrinkToFit="1"/>
    </xf>
    <xf numFmtId="4" fontId="11" fillId="0" borderId="30" xfId="0" applyNumberFormat="1" applyFon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 shrinkToFit="1"/>
    </xf>
    <xf numFmtId="4" fontId="12" fillId="0" borderId="30" xfId="0" applyNumberFormat="1" applyFont="1" applyBorder="1" applyAlignment="1">
      <alignment horizontal="center" vertical="center"/>
    </xf>
    <xf numFmtId="4" fontId="8" fillId="0" borderId="30" xfId="0" applyNumberFormat="1" applyFon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 shrinkToFit="1"/>
    </xf>
    <xf numFmtId="4" fontId="0" fillId="0" borderId="34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 shrinkToFit="1"/>
    </xf>
    <xf numFmtId="4" fontId="5" fillId="0" borderId="27" xfId="0" applyNumberFormat="1" applyFont="1" applyBorder="1" applyAlignment="1">
      <alignment horizontal="center" vertical="center" shrinkToFit="1"/>
    </xf>
    <xf numFmtId="4" fontId="5" fillId="0" borderId="28" xfId="0" applyNumberFormat="1" applyFont="1" applyBorder="1" applyAlignment="1">
      <alignment horizontal="center" vertical="center" shrinkToFit="1"/>
    </xf>
    <xf numFmtId="4" fontId="5" fillId="0" borderId="29" xfId="0" applyNumberFormat="1" applyFont="1" applyBorder="1" applyAlignment="1">
      <alignment horizontal="center" vertical="center" shrinkToFit="1"/>
    </xf>
    <xf numFmtId="4" fontId="13" fillId="0" borderId="30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 shrinkToFit="1"/>
    </xf>
    <xf numFmtId="4" fontId="5" fillId="0" borderId="32" xfId="0" applyNumberFormat="1" applyFont="1" applyBorder="1" applyAlignment="1">
      <alignment horizontal="center" vertical="center" shrinkToFit="1"/>
    </xf>
    <xf numFmtId="1" fontId="0" fillId="0" borderId="38" xfId="0" applyNumberFormat="1" applyBorder="1" applyAlignment="1">
      <alignment horizontal="center" vertical="center" shrinkToFit="1"/>
    </xf>
    <xf numFmtId="4" fontId="17" fillId="0" borderId="39" xfId="0" applyNumberFormat="1" applyFont="1" applyBorder="1" applyAlignment="1">
      <alignment horizontal="center" vertical="center" shrinkToFit="1"/>
    </xf>
    <xf numFmtId="1" fontId="17" fillId="0" borderId="39" xfId="0" applyNumberFormat="1" applyFont="1" applyBorder="1" applyAlignment="1">
      <alignment horizontal="center" vertical="center" shrinkToFit="1"/>
    </xf>
    <xf numFmtId="4" fontId="18" fillId="0" borderId="39" xfId="0" applyNumberFormat="1" applyFont="1" applyBorder="1" applyAlignment="1">
      <alignment horizontal="center" vertical="center" wrapText="1" shrinkToFit="1"/>
    </xf>
    <xf numFmtId="4" fontId="18" fillId="14" borderId="39" xfId="0" applyNumberFormat="1" applyFont="1" applyFill="1" applyBorder="1" applyAlignment="1">
      <alignment horizontal="center" vertical="center" wrapText="1" shrinkToFit="1"/>
    </xf>
    <xf numFmtId="4" fontId="17" fillId="14" borderId="39" xfId="0" applyNumberFormat="1" applyFont="1" applyFill="1" applyBorder="1" applyAlignment="1">
      <alignment horizontal="center" vertical="center" shrinkToFit="1"/>
    </xf>
    <xf numFmtId="4" fontId="19" fillId="13" borderId="39" xfId="0" applyNumberFormat="1" applyFont="1" applyFill="1" applyBorder="1" applyAlignment="1">
      <alignment horizontal="center" vertical="center" shrinkToFit="1"/>
    </xf>
    <xf numFmtId="4" fontId="17" fillId="0" borderId="40" xfId="0" applyNumberFormat="1" applyFont="1" applyBorder="1" applyAlignment="1">
      <alignment horizontal="center" vertical="center" shrinkToFit="1"/>
    </xf>
    <xf numFmtId="4" fontId="7" fillId="0" borderId="41" xfId="0" applyNumberFormat="1" applyFont="1" applyBorder="1" applyAlignment="1">
      <alignment horizontal="center" vertical="center" shrinkToFit="1"/>
    </xf>
    <xf numFmtId="4" fontId="7" fillId="0" borderId="25" xfId="0" applyNumberFormat="1" applyFont="1" applyBorder="1" applyAlignment="1">
      <alignment horizontal="center" vertical="center" shrinkToFit="1"/>
    </xf>
    <xf numFmtId="4" fontId="20" fillId="0" borderId="25" xfId="0" applyNumberFormat="1" applyFont="1" applyBorder="1" applyAlignment="1">
      <alignment horizontal="center" vertical="center" wrapText="1" shrinkToFit="1"/>
    </xf>
    <xf numFmtId="4" fontId="20" fillId="15" borderId="25" xfId="0" applyNumberFormat="1" applyFont="1" applyFill="1" applyBorder="1" applyAlignment="1">
      <alignment horizontal="center" vertical="center" wrapText="1" shrinkToFit="1"/>
    </xf>
    <xf numFmtId="4" fontId="0" fillId="0" borderId="43" xfId="0" applyNumberFormat="1" applyBorder="1" applyAlignment="1">
      <alignment horizontal="center" vertical="center" shrinkToFit="1"/>
    </xf>
    <xf numFmtId="4" fontId="0" fillId="0" borderId="44" xfId="0" applyNumberFormat="1" applyBorder="1" applyAlignment="1">
      <alignment horizontal="center" vertical="center" shrinkToFit="1"/>
    </xf>
    <xf numFmtId="4" fontId="20" fillId="0" borderId="45" xfId="0" applyNumberFormat="1" applyFont="1" applyBorder="1" applyAlignment="1">
      <alignment horizontal="center" vertical="center" wrapText="1" shrinkToFit="1"/>
    </xf>
    <xf numFmtId="4" fontId="0" fillId="0" borderId="45" xfId="0" applyNumberFormat="1" applyBorder="1" applyAlignment="1">
      <alignment horizontal="center" vertical="center" shrinkToFit="1"/>
    </xf>
    <xf numFmtId="4" fontId="7" fillId="0" borderId="46" xfId="0" applyNumberFormat="1" applyFont="1" applyBorder="1" applyAlignment="1">
      <alignment horizontal="center" vertical="center" shrinkToFit="1"/>
    </xf>
    <xf numFmtId="4" fontId="21" fillId="0" borderId="46" xfId="0" applyNumberFormat="1" applyFont="1" applyBorder="1" applyAlignment="1">
      <alignment horizontal="center" vertical="center" shrinkToFit="1"/>
    </xf>
    <xf numFmtId="4" fontId="0" fillId="0" borderId="46" xfId="0" applyNumberFormat="1" applyBorder="1" applyAlignment="1">
      <alignment horizontal="center" vertical="center" shrinkToFit="1"/>
    </xf>
    <xf numFmtId="4" fontId="7" fillId="11" borderId="46" xfId="0" applyNumberFormat="1" applyFont="1" applyFill="1" applyBorder="1" applyAlignment="1">
      <alignment horizontal="center" vertical="center" shrinkToFit="1"/>
    </xf>
    <xf numFmtId="4" fontId="21" fillId="0" borderId="47" xfId="0" applyNumberFormat="1" applyFont="1" applyBorder="1" applyAlignment="1">
      <alignment horizontal="center" vertical="center" shrinkToFit="1"/>
    </xf>
    <xf numFmtId="4" fontId="16" fillId="0" borderId="51" xfId="3" applyNumberFormat="1" applyFont="1" applyBorder="1" applyAlignment="1">
      <alignment horizontal="center" vertical="center" wrapText="1"/>
    </xf>
    <xf numFmtId="4" fontId="16" fillId="0" borderId="52" xfId="3" applyNumberFormat="1" applyFont="1" applyBorder="1" applyAlignment="1">
      <alignment horizontal="center" vertical="center" wrapText="1"/>
    </xf>
    <xf numFmtId="4" fontId="16" fillId="0" borderId="49" xfId="3" applyNumberFormat="1" applyFont="1" applyBorder="1" applyAlignment="1">
      <alignment horizontal="center" vertical="center" wrapText="1"/>
    </xf>
    <xf numFmtId="4" fontId="16" fillId="0" borderId="53" xfId="3" applyNumberFormat="1" applyFont="1" applyBorder="1" applyAlignment="1">
      <alignment horizontal="center" vertical="center" wrapText="1"/>
    </xf>
    <xf numFmtId="4" fontId="5" fillId="0" borderId="44" xfId="0" applyNumberFormat="1" applyFont="1" applyBorder="1" applyAlignment="1">
      <alignment horizontal="center" vertical="center" shrinkToFit="1"/>
    </xf>
    <xf numFmtId="4" fontId="13" fillId="0" borderId="45" xfId="0" applyNumberFormat="1" applyFont="1" applyBorder="1" applyAlignment="1">
      <alignment horizontal="center" vertical="center" wrapText="1" shrinkToFit="1"/>
    </xf>
    <xf numFmtId="4" fontId="5" fillId="0" borderId="45" xfId="0" applyNumberFormat="1" applyFont="1" applyBorder="1" applyAlignment="1">
      <alignment horizontal="center" vertical="center" shrinkToFit="1"/>
    </xf>
    <xf numFmtId="4" fontId="13" fillId="0" borderId="46" xfId="0" applyNumberFormat="1" applyFont="1" applyBorder="1" applyAlignment="1">
      <alignment horizontal="center" vertical="center" shrinkToFit="1"/>
    </xf>
    <xf numFmtId="4" fontId="23" fillId="0" borderId="46" xfId="0" applyNumberFormat="1" applyFont="1" applyBorder="1" applyAlignment="1">
      <alignment horizontal="center" vertical="center" shrinkToFit="1"/>
    </xf>
    <xf numFmtId="4" fontId="5" fillId="0" borderId="46" xfId="0" applyNumberFormat="1" applyFont="1" applyBorder="1" applyAlignment="1">
      <alignment horizontal="center" vertical="center" shrinkToFit="1"/>
    </xf>
    <xf numFmtId="4" fontId="23" fillId="0" borderId="47" xfId="0" applyNumberFormat="1" applyFont="1" applyBorder="1" applyAlignment="1">
      <alignment horizontal="center" vertical="center" shrinkToFit="1"/>
    </xf>
    <xf numFmtId="4" fontId="16" fillId="0" borderId="48" xfId="3" applyNumberFormat="1" applyFon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shrinkToFit="1"/>
    </xf>
    <xf numFmtId="4" fontId="0" fillId="16" borderId="55" xfId="0" applyNumberFormat="1" applyFill="1" applyBorder="1" applyAlignment="1">
      <alignment horizontal="center" vertical="center" shrinkToFit="1"/>
    </xf>
    <xf numFmtId="14" fontId="0" fillId="16" borderId="55" xfId="0" applyNumberFormat="1" applyFill="1" applyBorder="1" applyAlignment="1">
      <alignment horizontal="center" shrinkToFit="1"/>
    </xf>
    <xf numFmtId="1" fontId="0" fillId="16" borderId="55" xfId="0" applyNumberFormat="1" applyFill="1" applyBorder="1" applyAlignment="1">
      <alignment horizontal="center" vertical="center" shrinkToFit="1"/>
    </xf>
    <xf numFmtId="4" fontId="0" fillId="16" borderId="56" xfId="0" applyNumberFormat="1" applyFill="1" applyBorder="1" applyAlignment="1">
      <alignment horizontal="center" vertical="center" shrinkToFit="1"/>
    </xf>
    <xf numFmtId="4" fontId="0" fillId="16" borderId="57" xfId="0" applyNumberFormat="1" applyFill="1" applyBorder="1" applyAlignment="1">
      <alignment horizontal="center" vertical="center" shrinkToFit="1"/>
    </xf>
    <xf numFmtId="4" fontId="0" fillId="16" borderId="1" xfId="0" applyNumberFormat="1" applyFill="1" applyBorder="1" applyAlignment="1">
      <alignment horizontal="center" vertical="center" shrinkToFit="1"/>
    </xf>
    <xf numFmtId="4" fontId="0" fillId="0" borderId="58" xfId="0" applyNumberFormat="1" applyBorder="1" applyAlignment="1">
      <alignment horizontal="center" vertical="center" shrinkToFit="1"/>
    </xf>
    <xf numFmtId="1" fontId="0" fillId="0" borderId="42" xfId="0" applyNumberFormat="1" applyBorder="1" applyAlignment="1">
      <alignment horizontal="center" vertical="center" shrinkToFit="1"/>
    </xf>
    <xf numFmtId="4" fontId="0" fillId="0" borderId="42" xfId="0" applyNumberFormat="1" applyBorder="1" applyAlignment="1">
      <alignment horizontal="center" vertical="center" shrinkToFit="1"/>
    </xf>
    <xf numFmtId="169" fontId="0" fillId="0" borderId="59" xfId="0" applyNumberFormat="1" applyBorder="1" applyAlignment="1">
      <alignment horizontal="center" vertical="center" shrinkToFit="1"/>
    </xf>
    <xf numFmtId="169" fontId="0" fillId="0" borderId="0" xfId="0" applyNumberFormat="1" applyAlignment="1">
      <alignment horizontal="center" vertical="center" shrinkToFit="1"/>
    </xf>
    <xf numFmtId="1" fontId="0" fillId="0" borderId="60" xfId="0" applyNumberFormat="1" applyBorder="1" applyAlignment="1">
      <alignment horizontal="center" vertical="center" shrinkToFit="1"/>
    </xf>
    <xf numFmtId="170" fontId="24" fillId="0" borderId="46" xfId="0" applyNumberFormat="1" applyFont="1" applyBorder="1" applyAlignment="1">
      <alignment horizontal="center" vertical="center" shrinkToFit="1"/>
    </xf>
    <xf numFmtId="4" fontId="25" fillId="16" borderId="47" xfId="0" applyNumberFormat="1" applyFont="1" applyFill="1" applyBorder="1" applyAlignment="1">
      <alignment horizontal="center" vertical="center" shrinkToFit="1"/>
    </xf>
    <xf numFmtId="49" fontId="15" fillId="0" borderId="61" xfId="3" applyNumberFormat="1" applyBorder="1" applyAlignment="1">
      <alignment horizontal="center"/>
    </xf>
    <xf numFmtId="4" fontId="26" fillId="16" borderId="3" xfId="3" applyNumberFormat="1" applyFont="1" applyFill="1" applyBorder="1" applyAlignment="1">
      <alignment horizontal="center"/>
    </xf>
    <xf numFmtId="49" fontId="15" fillId="0" borderId="3" xfId="3" applyNumberFormat="1" applyBorder="1" applyAlignment="1">
      <alignment horizontal="center"/>
    </xf>
    <xf numFmtId="4" fontId="15" fillId="0" borderId="3" xfId="3" applyNumberFormat="1" applyBorder="1" applyAlignment="1">
      <alignment horizontal="center"/>
    </xf>
    <xf numFmtId="1" fontId="5" fillId="0" borderId="60" xfId="0" applyNumberFormat="1" applyFont="1" applyBorder="1" applyAlignment="1">
      <alignment horizontal="center" vertical="center" shrinkToFit="1"/>
    </xf>
    <xf numFmtId="4" fontId="27" fillId="0" borderId="46" xfId="0" applyNumberFormat="1" applyFont="1" applyBorder="1" applyAlignment="1">
      <alignment horizontal="center" vertical="center" shrinkToFit="1"/>
    </xf>
    <xf numFmtId="4" fontId="28" fillId="16" borderId="47" xfId="0" applyNumberFormat="1" applyFont="1" applyFill="1" applyBorder="1" applyAlignment="1">
      <alignment horizontal="center" vertical="center" shrinkToFit="1"/>
    </xf>
    <xf numFmtId="169" fontId="0" fillId="0" borderId="62" xfId="0" applyNumberFormat="1" applyBorder="1" applyAlignment="1">
      <alignment horizontal="center" vertical="center" shrinkToFit="1"/>
    </xf>
    <xf numFmtId="4" fontId="24" fillId="0" borderId="46" xfId="0" applyNumberFormat="1" applyFont="1" applyBorder="1" applyAlignment="1">
      <alignment horizontal="center" vertical="center" shrinkToFit="1"/>
    </xf>
    <xf numFmtId="49" fontId="15" fillId="0" borderId="63" xfId="3" applyNumberFormat="1" applyBorder="1" applyAlignment="1">
      <alignment horizontal="center"/>
    </xf>
    <xf numFmtId="4" fontId="7" fillId="0" borderId="64" xfId="0" applyNumberFormat="1" applyFont="1" applyBorder="1" applyAlignment="1">
      <alignment horizontal="center" vertical="center" shrinkToFit="1"/>
    </xf>
    <xf numFmtId="1" fontId="7" fillId="0" borderId="65" xfId="0" applyNumberFormat="1" applyFont="1" applyBorder="1" applyAlignment="1">
      <alignment horizontal="center" vertical="center" shrinkToFit="1"/>
    </xf>
    <xf numFmtId="43" fontId="7" fillId="0" borderId="65" xfId="1" applyFont="1" applyBorder="1" applyAlignment="1">
      <alignment horizontal="center" vertical="center" shrinkToFit="1"/>
    </xf>
    <xf numFmtId="43" fontId="7" fillId="17" borderId="65" xfId="1" applyFont="1" applyFill="1" applyBorder="1" applyAlignment="1">
      <alignment horizontal="center" vertical="center" shrinkToFit="1"/>
    </xf>
    <xf numFmtId="49" fontId="15" fillId="0" borderId="66" xfId="3" applyNumberFormat="1" applyBorder="1" applyAlignment="1">
      <alignment horizontal="center"/>
    </xf>
    <xf numFmtId="1" fontId="0" fillId="0" borderId="67" xfId="0" applyNumberFormat="1" applyBorder="1" applyAlignment="1">
      <alignment horizontal="center" vertical="center" shrinkToFit="1"/>
    </xf>
    <xf numFmtId="4" fontId="0" fillId="0" borderId="68" xfId="0" applyNumberFormat="1" applyBorder="1" applyAlignment="1">
      <alignment horizontal="center" vertical="center" shrinkToFit="1"/>
    </xf>
    <xf numFmtId="4" fontId="24" fillId="0" borderId="68" xfId="0" applyNumberFormat="1" applyFont="1" applyBorder="1" applyAlignment="1">
      <alignment horizontal="center" vertical="center" shrinkToFit="1"/>
    </xf>
    <xf numFmtId="1" fontId="5" fillId="0" borderId="67" xfId="0" applyNumberFormat="1" applyFont="1" applyBorder="1" applyAlignment="1">
      <alignment horizontal="center" vertical="center" shrinkToFit="1"/>
    </xf>
    <xf numFmtId="4" fontId="15" fillId="0" borderId="70" xfId="3" applyNumberFormat="1" applyBorder="1" applyAlignment="1">
      <alignment horizontal="center"/>
    </xf>
    <xf numFmtId="4" fontId="0" fillId="0" borderId="71" xfId="0" applyNumberFormat="1" applyBorder="1" applyAlignment="1">
      <alignment horizontal="center" vertical="center" shrinkToFit="1"/>
    </xf>
    <xf numFmtId="1" fontId="0" fillId="0" borderId="72" xfId="0" applyNumberFormat="1" applyBorder="1" applyAlignment="1">
      <alignment horizontal="center" vertical="center" shrinkToFit="1"/>
    </xf>
    <xf numFmtId="4" fontId="0" fillId="0" borderId="73" xfId="0" applyNumberFormat="1" applyBorder="1" applyAlignment="1">
      <alignment horizontal="center" vertical="center" shrinkToFit="1"/>
    </xf>
    <xf numFmtId="4" fontId="24" fillId="0" borderId="73" xfId="0" applyNumberFormat="1" applyFont="1" applyBorder="1" applyAlignment="1">
      <alignment horizontal="center" vertical="center" shrinkToFit="1"/>
    </xf>
    <xf numFmtId="4" fontId="29" fillId="0" borderId="74" xfId="0" applyNumberFormat="1" applyFont="1" applyBorder="1" applyAlignment="1">
      <alignment horizontal="center" vertical="center" shrinkToFit="1"/>
    </xf>
    <xf numFmtId="4" fontId="30" fillId="0" borderId="69" xfId="3" applyNumberFormat="1" applyFont="1" applyBorder="1" applyAlignment="1">
      <alignment horizontal="center"/>
    </xf>
    <xf numFmtId="4" fontId="31" fillId="0" borderId="75" xfId="3" applyNumberFormat="1" applyFont="1" applyBorder="1" applyAlignment="1">
      <alignment horizontal="center"/>
    </xf>
    <xf numFmtId="49" fontId="30" fillId="0" borderId="76" xfId="3" applyNumberFormat="1" applyFont="1" applyBorder="1" applyAlignment="1">
      <alignment horizontal="center"/>
    </xf>
    <xf numFmtId="4" fontId="30" fillId="0" borderId="77" xfId="3" applyNumberFormat="1" applyFont="1" applyBorder="1" applyAlignment="1">
      <alignment horizontal="center"/>
    </xf>
    <xf numFmtId="1" fontId="5" fillId="0" borderId="72" xfId="0" applyNumberFormat="1" applyFont="1" applyBorder="1" applyAlignment="1">
      <alignment horizontal="center" vertical="center" shrinkToFit="1"/>
    </xf>
    <xf numFmtId="4" fontId="5" fillId="0" borderId="73" xfId="0" applyNumberFormat="1" applyFont="1" applyBorder="1" applyAlignment="1">
      <alignment horizontal="center" vertical="center" shrinkToFit="1"/>
    </xf>
    <xf numFmtId="4" fontId="27" fillId="0" borderId="73" xfId="0" applyNumberFormat="1" applyFont="1" applyBorder="1" applyAlignment="1">
      <alignment horizontal="center" vertical="center" shrinkToFit="1"/>
    </xf>
    <xf numFmtId="4" fontId="23" fillId="0" borderId="74" xfId="0" applyNumberFormat="1" applyFont="1" applyBorder="1" applyAlignment="1">
      <alignment horizontal="center" vertical="center" shrinkToFit="1"/>
    </xf>
    <xf numFmtId="4" fontId="31" fillId="0" borderId="78" xfId="3" applyNumberFormat="1" applyFont="1" applyBorder="1" applyAlignment="1">
      <alignment horizontal="center"/>
    </xf>
    <xf numFmtId="49" fontId="30" fillId="0" borderId="48" xfId="3" applyNumberFormat="1" applyFont="1" applyBorder="1" applyAlignment="1">
      <alignment horizontal="center"/>
    </xf>
    <xf numFmtId="4" fontId="30" fillId="0" borderId="49" xfId="3" applyNumberFormat="1" applyFont="1" applyBorder="1" applyAlignment="1">
      <alignment horizontal="center"/>
    </xf>
    <xf numFmtId="4" fontId="30" fillId="0" borderId="53" xfId="3" applyNumberFormat="1" applyFont="1" applyBorder="1" applyAlignment="1">
      <alignment horizontal="center"/>
    </xf>
    <xf numFmtId="4" fontId="32" fillId="0" borderId="0" xfId="0" applyNumberFormat="1" applyFont="1" applyAlignment="1">
      <alignment horizontal="center" vertical="center" shrinkToFit="1"/>
    </xf>
    <xf numFmtId="4" fontId="33" fillId="0" borderId="0" xfId="0" applyNumberFormat="1" applyFont="1" applyAlignment="1">
      <alignment horizontal="center" vertical="center" shrinkToFit="1"/>
    </xf>
    <xf numFmtId="4" fontId="33" fillId="11" borderId="0" xfId="0" applyNumberFormat="1" applyFont="1" applyFill="1" applyAlignment="1">
      <alignment horizontal="center" vertical="center" shrinkToFit="1"/>
    </xf>
    <xf numFmtId="43" fontId="34" fillId="11" borderId="0" xfId="1" applyFont="1" applyFill="1" applyAlignment="1">
      <alignment horizontal="center" vertical="center" shrinkToFit="1"/>
    </xf>
    <xf numFmtId="4" fontId="22" fillId="0" borderId="52" xfId="3" applyNumberFormat="1" applyFont="1" applyBorder="1" applyAlignment="1">
      <alignment horizontal="center" vertical="center" wrapText="1"/>
    </xf>
    <xf numFmtId="4" fontId="15" fillId="16" borderId="3" xfId="3" applyNumberFormat="1" applyFill="1" applyBorder="1" applyAlignment="1">
      <alignment horizontal="center"/>
    </xf>
    <xf numFmtId="4" fontId="35" fillId="16" borderId="3" xfId="3" applyNumberFormat="1" applyFont="1" applyFill="1" applyBorder="1" applyAlignment="1">
      <alignment horizontal="center"/>
    </xf>
    <xf numFmtId="4" fontId="0" fillId="11" borderId="0" xfId="0" applyNumberForma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9" borderId="0" xfId="0" applyFill="1"/>
    <xf numFmtId="165" fontId="0" fillId="9" borderId="0" xfId="0" applyNumberFormat="1" applyFill="1"/>
    <xf numFmtId="4" fontId="0" fillId="9" borderId="0" xfId="0" applyNumberFormat="1" applyFill="1"/>
    <xf numFmtId="0" fontId="0" fillId="10" borderId="0" xfId="0" applyFill="1"/>
    <xf numFmtId="165" fontId="0" fillId="10" borderId="0" xfId="0" applyNumberFormat="1" applyFill="1"/>
    <xf numFmtId="4" fontId="0" fillId="10" borderId="0" xfId="0" applyNumberFormat="1" applyFill="1"/>
    <xf numFmtId="4" fontId="2" fillId="0" borderId="0" xfId="0" applyNumberFormat="1" applyFont="1"/>
    <xf numFmtId="4" fontId="22" fillId="18" borderId="51" xfId="3" applyNumberFormat="1" applyFont="1" applyFill="1" applyBorder="1" applyAlignment="1">
      <alignment horizontal="center" vertical="center" wrapText="1"/>
    </xf>
    <xf numFmtId="4" fontId="22" fillId="18" borderId="52" xfId="3" applyNumberFormat="1" applyFont="1" applyFill="1" applyBorder="1" applyAlignment="1">
      <alignment horizontal="center" vertical="center" wrapText="1"/>
    </xf>
    <xf numFmtId="4" fontId="22" fillId="18" borderId="50" xfId="3" applyNumberFormat="1" applyFont="1" applyFill="1" applyBorder="1" applyAlignment="1">
      <alignment horizontal="center" vertical="center" wrapText="1"/>
    </xf>
    <xf numFmtId="4" fontId="15" fillId="18" borderId="3" xfId="3" applyNumberFormat="1" applyFill="1" applyBorder="1" applyAlignment="1">
      <alignment horizontal="center"/>
    </xf>
    <xf numFmtId="4" fontId="35" fillId="18" borderId="3" xfId="3" applyNumberFormat="1" applyFont="1" applyFill="1" applyBorder="1" applyAlignment="1">
      <alignment horizontal="center"/>
    </xf>
    <xf numFmtId="4" fontId="0" fillId="0" borderId="33" xfId="0" applyNumberFormat="1" applyBorder="1" applyAlignment="1">
      <alignment horizontal="center" vertical="center" shrinkToFit="1"/>
    </xf>
    <xf numFmtId="4" fontId="0" fillId="0" borderId="34" xfId="0" applyNumberFormat="1" applyBorder="1" applyAlignment="1">
      <alignment horizontal="center" vertical="center" shrinkToFit="1"/>
    </xf>
    <xf numFmtId="4" fontId="16" fillId="0" borderId="36" xfId="3" applyNumberFormat="1" applyFont="1" applyBorder="1" applyAlignment="1">
      <alignment horizontal="center" vertical="center" wrapText="1"/>
    </xf>
    <xf numFmtId="4" fontId="16" fillId="0" borderId="34" xfId="3" applyNumberFormat="1" applyFont="1" applyBorder="1" applyAlignment="1">
      <alignment horizontal="center" vertical="center" wrapText="1"/>
    </xf>
    <xf numFmtId="4" fontId="16" fillId="0" borderId="37" xfId="3" applyNumberFormat="1" applyFont="1" applyBorder="1" applyAlignment="1">
      <alignment horizontal="center" vertical="center" wrapText="1"/>
    </xf>
    <xf numFmtId="4" fontId="5" fillId="0" borderId="36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4" fontId="4" fillId="3" borderId="0" xfId="0" applyNumberFormat="1" applyFont="1" applyFill="1" applyAlignment="1">
      <alignment horizontal="center"/>
    </xf>
    <xf numFmtId="4" fontId="4" fillId="4" borderId="0" xfId="0" applyNumberFormat="1" applyFont="1" applyFill="1" applyAlignment="1">
      <alignment horizontal="center"/>
    </xf>
    <xf numFmtId="4" fontId="4" fillId="5" borderId="0" xfId="0" applyNumberFormat="1" applyFont="1" applyFill="1" applyAlignment="1">
      <alignment horizontal="center"/>
    </xf>
    <xf numFmtId="4" fontId="4" fillId="6" borderId="0" xfId="0" applyNumberFormat="1" applyFont="1" applyFill="1" applyAlignment="1">
      <alignment horizontal="center"/>
    </xf>
    <xf numFmtId="4" fontId="0" fillId="11" borderId="58" xfId="0" applyNumberFormat="1" applyFill="1" applyBorder="1" applyAlignment="1">
      <alignment horizontal="center" vertical="center" shrinkToFit="1"/>
    </xf>
    <xf numFmtId="1" fontId="15" fillId="18" borderId="3" xfId="3" applyNumberFormat="1" applyFill="1" applyBorder="1" applyAlignment="1">
      <alignment horizontal="center"/>
    </xf>
    <xf numFmtId="3" fontId="30" fillId="11" borderId="77" xfId="3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0" xfId="3" xr:uid="{95EBEADA-E255-46E0-BDE3-8DE42C13A075}"/>
    <cellStyle name="Percent" xfId="2" builtinId="5"/>
  </cellStyles>
  <dxfs count="89"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dd/mm/yyyy\ hh:mm\ AM/P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2DDFC1-C138-4544-94D5-D965DD3BEA91}" name="Table1" displayName="Table1" ref="L3:AX985" totalsRowCount="1" headerRowDxfId="88" dataDxfId="87" totalsRowDxfId="86">
  <autoFilter ref="L3:AX984" xr:uid="{E92DDFC1-C138-4544-94D5-D965DD3BEA91}"/>
  <tableColumns count="39">
    <tableColumn id="1" xr3:uid="{BA7A131E-A9BA-4518-8306-A6A5CB28EA44}" name="Restaurant Id" totalsRowFunction="average" totalsRowLabel="Total" dataDxfId="85" totalsRowDxfId="84"/>
    <tableColumn id="2" xr3:uid="{778F7DA7-57DF-48BE-AAC3-641B89D2A622}" name="Restaurant" totalsRowFunction="average" dataDxfId="83" totalsRowDxfId="82"/>
    <tableColumn id="3" xr3:uid="{2E3632D2-F26F-4B30-B0CB-5886777A102D}" name="Branch Id" totalsRowFunction="average" dataDxfId="81" totalsRowDxfId="80"/>
    <tableColumn id="4" xr3:uid="{F83AC6C2-1843-49F8-950A-49E55720C798}" name="Branch" totalsRowFunction="average" dataDxfId="79" totalsRowDxfId="78"/>
    <tableColumn id="5" xr3:uid="{CF6AAF7C-88BB-4A22-928A-2DE6F6883A96}" name="Order Id" totalsRowFunction="average" dataDxfId="77" totalsRowDxfId="76"/>
    <tableColumn id="7" xr3:uid="{54B5F7FC-2C4A-45D6-B593-D9C4FD958822}" name="Date / Time" totalsRowFunction="average" dataDxfId="75" totalsRowDxfId="74"/>
    <tableColumn id="8" xr3:uid="{96B04C57-5761-4AAE-802D-F43CD9C00687}" name="Payment Method" totalsRowFunction="average" dataDxfId="73" totalsRowDxfId="72"/>
    <tableColumn id="9" xr3:uid="{AD0E505C-5881-45A4-AE47-B12521F00713}" name="Status" totalsRowFunction="average" dataDxfId="71" totalsRowDxfId="70"/>
    <tableColumn id="10" xr3:uid="{BD4B014D-DD08-41C0-A6EA-3CF7B240481D}" name="Service Type" totalsRowFunction="average" dataDxfId="69" totalsRowDxfId="68"/>
    <tableColumn id="11" xr3:uid="{7F26BF08-F24D-4E59-B9D8-96A4D08DF00D}" name="Is TPro" totalsRowFunction="average" dataDxfId="67" totalsRowDxfId="66"/>
    <tableColumn id="12" xr3:uid="{88104C25-1AD2-4BE3-8022-59BDA40BFA6A}" name="VAT Type" totalsRowFunction="average" dataDxfId="65" totalsRowDxfId="64"/>
    <tableColumn id="13" xr3:uid="{4F8863C1-6AE1-4657-8C85-695A2E7D46BC}" name="Rider Payment Type" totalsRowFunction="average" dataDxfId="63" totalsRowDxfId="62"/>
    <tableColumn id="14" xr3:uid="{776876D3-E8FB-4A8C-B2DF-B91CAA4C1C48}" name="Delivery Charges Included in Commission" totalsRowFunction="average" dataDxfId="61" totalsRowDxfId="60"/>
    <tableColumn id="15" xr3:uid="{8CD9EF97-E7EF-47A3-AD52-85211490BE2C}" name="SubTotal" totalsRowFunction="sum" dataDxfId="59" totalsRowDxfId="58"/>
    <tableColumn id="16" xr3:uid="{11F3A694-44BA-4082-9815-9C420F3AC321}" name="Item Level Order SubTotal" totalsRowFunction="sum" dataDxfId="57" totalsRowDxfId="56"/>
    <tableColumn id="17" xr3:uid="{4DC87606-B544-4534-AA04-CEDB8359E3F3}" name="Delivery Charges" totalsRowFunction="sum" dataDxfId="55" totalsRowDxfId="54"/>
    <tableColumn id="18" xr3:uid="{A71E19ED-B1C9-4A3F-B389-AD3CEF074F95}" name="Service Fee" totalsRowFunction="sum" dataDxfId="53" totalsRowDxfId="52"/>
    <tableColumn id="19" xr3:uid="{AF2AFE6B-B0CC-4984-99C4-8F9410AEAE23}" name="Small Order Fee" totalsRowFunction="sum" dataDxfId="51" totalsRowDxfId="50"/>
    <tableColumn id="21" xr3:uid="{C698A734-C17D-463A-BB56-78E1D755AE39}" name="VAT Amount" totalsRowFunction="sum" dataDxfId="49" totalsRowDxfId="48"/>
    <tableColumn id="23" xr3:uid="{E9C45397-DCFF-486C-8289-C795BDCEEFD2}" name="Total Sale" totalsRowFunction="sum" dataDxfId="47" totalsRowDxfId="46"/>
    <tableColumn id="24" xr3:uid="{7B3C9132-A72C-4422-B3A9-71F7CBFCA232}" name="Original Amount" totalsRowFunction="sum" dataDxfId="45" totalsRowDxfId="44"/>
    <tableColumn id="25" xr3:uid="{2B4E9A17-59BA-42D0-8BD5-AABC7AFFA630}" name="Partial Refund Cost to Talabat" totalsRowFunction="sum" dataDxfId="43" totalsRowDxfId="42"/>
    <tableColumn id="31" xr3:uid="{71C66DCC-D787-48B2-A471-D0BDDC614C7C}" name="Voucher Discount" totalsRowFunction="sum" dataDxfId="41" totalsRowDxfId="40"/>
    <tableColumn id="32" xr3:uid="{04BFEEFD-AAC5-4458-99BF-95D058D407CE}" name="Item Discount" totalsRowFunction="sum" dataDxfId="39" totalsRowDxfId="38"/>
    <tableColumn id="33" xr3:uid="{813CBFC9-3D82-4B0D-8595-824DF42C7AD9}" name="Voucher Cost To Talabat" totalsRowFunction="sum" dataDxfId="37" totalsRowDxfId="36"/>
    <tableColumn id="34" xr3:uid="{E9A245B0-56AF-4A49-BB75-9DB1B64D8FD1}" name="Voucher Cost To Restaurant" totalsRowFunction="sum" dataDxfId="35" totalsRowDxfId="34"/>
    <tableColumn id="35" xr3:uid="{3E486710-0110-4BCA-A9D7-403248F1F9D6}" name="Voucher Due from Talabat" totalsRowFunction="sum" dataDxfId="33" totalsRowDxfId="32"/>
    <tableColumn id="43" xr3:uid="{BB979F56-A663-4A74-9526-B1903813555B}" name="Avoidable Wait Time Fee" totalsRowFunction="sum" dataDxfId="31" totalsRowDxfId="30"/>
    <tableColumn id="44" xr3:uid="{1778E209-D274-4771-B516-711B93C2D63F}" name="Avoidable Wait Time Fee VAT" totalsRowFunction="sum" dataDxfId="29" totalsRowDxfId="28"/>
    <tableColumn id="45" xr3:uid="{AD76C964-CCFF-4C78-AD6F-D8A139F6B4CF}" name="Payment Handling Charges" totalsRowFunction="sum" dataDxfId="27" totalsRowDxfId="26"/>
    <tableColumn id="46" xr3:uid="{4E07A678-F6C8-4089-B813-0FBBEC6D4A96}" name="Payment Handling Charges VAT" totalsRowFunction="sum" dataDxfId="25" totalsRowDxfId="24"/>
    <tableColumn id="47" xr3:uid="{CAD0FC00-8391-4F7B-8B28-BE05792B86B7}" name="Commissionable GMV" totalsRowFunction="sum" dataDxfId="23" totalsRowDxfId="22"/>
    <tableColumn id="48" xr3:uid="{E97B7BF0-CDE7-46D3-AE2B-2B05FEA44455}" name="Original Commissionable GMV" totalsRowFunction="sum" dataDxfId="21" totalsRowDxfId="20"/>
    <tableColumn id="49" xr3:uid="{E5AA99E4-1172-4461-B022-7F7CDD7D4AF3}" name="Commission " totalsRowFunction="sum" dataDxfId="19" totalsRowDxfId="18"/>
    <tableColumn id="50" xr3:uid="{B88BB961-6CB3-482D-AAA3-12CBFC01E8FE}" name="Commission VAT" totalsRowFunction="sum" dataDxfId="17" totalsRowDxfId="16"/>
    <tableColumn id="53" xr3:uid="{AFB1C31B-1172-47C0-95EC-AF583A9EC8DD}" name="FreeDeliveryFund" totalsRowFunction="sum" dataDxfId="15" totalsRowDxfId="14"/>
    <tableColumn id="54" xr3:uid="{E70D1ED6-A3DB-4CBF-A30A-EEB8A4370DAA}" name="Loyalty Charges Type" totalsRowFunction="sum" dataDxfId="13" totalsRowDxfId="12"/>
    <tableColumn id="55" xr3:uid="{A1E36C6F-3FCE-4BED-BD81-807E66229DAE}" name="Net Payment Per Order" totalsRowFunction="sum" dataDxfId="11" totalsRowDxfId="10"/>
    <tableColumn id="6" xr3:uid="{1341CBA7-751E-4C27-8209-071F88F44F7C}" name="Column1" dataDxfId="9" totalsRowDxfId="8">
      <calculatedColumnFormula>Table1[[#This Row],[Original Commissionable GMV]]-Table1[[#This Row],[Commission ]]-Table1[[#This Row],[Commission VAT]]-Table1[[#This Row],[FreeDeliveryFund]]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35D016F-892B-44D9-BED8-C09B5044847F}" name="SideTable1215" displayName="SideTable1215" ref="A4:J13">
  <autoFilter ref="A4:J13" xr:uid="{335D016F-892B-44D9-BED8-C09B5044847F}"/>
  <tableColumns count="10">
    <tableColumn id="1" xr3:uid="{37C6F9B4-D374-47E5-8F89-DF480AAC2775}" name="Payment Method"/>
    <tableColumn id="2" xr3:uid="{96A8809B-D4EB-4228-82E6-AEA514DF885A}" name="Status"/>
    <tableColumn id="3" xr3:uid="{4B0AC470-9CE7-4FF8-ADFC-10E047F78806}" name="Number of Orders"/>
    <tableColumn id="4" xr3:uid="{D9E8E632-D075-4A56-BD34-452193B797D2}" name="Subtotal"/>
    <tableColumn id="5" xr3:uid="{771E8FC8-3219-49BD-A97D-E71B1A109D06}" name="Delivery Fee"/>
    <tableColumn id="6" xr3:uid="{686EB94F-3EEE-4CE8-B2BE-AEE1ECC8D0C0}" name="Service Fee"/>
    <tableColumn id="7" xr3:uid="{464A6930-0F96-4F35-B4B7-9F9EE7A71239}" name="Cash On Delivery Fee"/>
    <tableColumn id="8" xr3:uid="{F325DCD6-616B-40E9-87E8-54C0E8B677F4}" name="Total Sale"/>
    <tableColumn id="9" xr3:uid="{6BB8E627-692B-461A-B7D6-43941D186ACF}" name="Commissionable GMV"/>
    <tableColumn id="10" xr3:uid="{D179F6D9-855A-4334-BF78-9CD5884C999E}" name="Commission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A37AD3F-30C4-4BBA-9A88-2FC6DEA062C5}" name="SideTable2316" displayName="SideTable2316" ref="A16:J24">
  <autoFilter ref="A16:J24" xr:uid="{EA37AD3F-30C4-4BBA-9A88-2FC6DEA062C5}"/>
  <tableColumns count="10">
    <tableColumn id="1" xr3:uid="{2DCE5C81-1557-4764-A376-9D4ED77E8E2A}" name="Payment Method"/>
    <tableColumn id="2" xr3:uid="{6A496785-6E34-4F5C-9A59-C33F6E47D5ED}" name="Status"/>
    <tableColumn id="3" xr3:uid="{C2923155-ED49-4165-8B00-300F2D147BFF}" name="Number of Orders"/>
    <tableColumn id="4" xr3:uid="{C00417C7-BD8A-41D5-A84C-9534804247E7}" name="Subtotal"/>
    <tableColumn id="5" xr3:uid="{7DFFF780-8233-43E2-A7E2-8CDA879D7959}" name="Delivery Fee"/>
    <tableColumn id="6" xr3:uid="{909C8560-0D0A-4DA1-BE57-3DAF626B2510}" name="Service Fee"/>
    <tableColumn id="7" xr3:uid="{2CB24FA1-AAC6-4163-9FC9-73B1FFDB5175}" name="Cash On Delivery Fee"/>
    <tableColumn id="8" xr3:uid="{4460CA0E-7DD5-493C-83A5-62D07BA300A4}" name="Total Sale"/>
    <tableColumn id="9" xr3:uid="{60F87E47-7FEB-4982-A62F-EDF07873C821}" name="Commissionable GMV"/>
    <tableColumn id="10" xr3:uid="{7CBC7A5A-400E-415A-B4E2-7EA96CE2D158}" name="Commission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7F3A731-6AF2-4872-B239-82EBF17BBE6A}" name="SideTable32" displayName="SideTable32" ref="A27:D33">
  <autoFilter ref="A27:D33" xr:uid="{A7F3A731-6AF2-4872-B239-82EBF17BBE6A}"/>
  <tableColumns count="4">
    <tableColumn id="1" xr3:uid="{BC21A349-B624-4C3E-B1F5-E9A50B9D09F4}" name="Order Id"/>
    <tableColumn id="2" xr3:uid="{6C5782F2-F32B-4F76-9386-C9517843A0AA}" name="Order date"/>
    <tableColumn id="3" xr3:uid="{C2676308-5F9C-49EC-BB35-1445969A3D50}" name="Cancellation reason"/>
    <tableColumn id="4" xr3:uid="{8E5EC605-AFF0-4244-AD35-312FF93AC9CE}" name="Compensation amount for canceled orders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85"/>
  <sheetViews>
    <sheetView topLeftCell="J1" workbookViewId="0">
      <selection activeCell="O3" sqref="O1:O1048576"/>
    </sheetView>
  </sheetViews>
  <sheetFormatPr defaultColWidth="20" defaultRowHeight="15" x14ac:dyDescent="0.25"/>
  <cols>
    <col min="1" max="1" width="42.5703125" style="2" bestFit="1" customWidth="1"/>
    <col min="2" max="2" width="18.5703125" style="2" bestFit="1" customWidth="1"/>
    <col min="3" max="3" width="23.28515625" style="2" bestFit="1" customWidth="1"/>
    <col min="4" max="4" width="44.140625" style="2" bestFit="1" customWidth="1"/>
    <col min="5" max="5" width="16.7109375" style="2" bestFit="1" customWidth="1"/>
    <col min="6" max="6" width="15.7109375" style="2" bestFit="1" customWidth="1"/>
    <col min="7" max="7" width="24.5703125" style="2" bestFit="1" customWidth="1"/>
    <col min="8" max="8" width="14.140625" style="2" bestFit="1" customWidth="1"/>
    <col min="9" max="9" width="25.5703125" style="2" bestFit="1" customWidth="1"/>
    <col min="10" max="10" width="16.42578125" style="2" bestFit="1" customWidth="1"/>
    <col min="11" max="11" width="20" style="2"/>
    <col min="12" max="12" width="15" style="2" bestFit="1" customWidth="1"/>
    <col min="13" max="13" width="12.85546875" style="2" bestFit="1" customWidth="1"/>
    <col min="14" max="14" width="11.42578125" style="2" bestFit="1" customWidth="1"/>
    <col min="15" max="15" width="30.7109375" style="2" hidden="1" customWidth="1"/>
    <col min="16" max="16" width="11" style="2" bestFit="1" customWidth="1"/>
    <col min="17" max="17" width="47.42578125" style="2" bestFit="1" customWidth="1"/>
    <col min="18" max="18" width="19.42578125" style="5" bestFit="1" customWidth="1"/>
    <col min="19" max="19" width="18.85546875" style="2" bestFit="1" customWidth="1"/>
    <col min="20" max="20" width="17.7109375" style="2" bestFit="1" customWidth="1"/>
    <col min="21" max="21" width="15.42578125" style="2" bestFit="1" customWidth="1"/>
    <col min="22" max="22" width="9.140625" style="2" bestFit="1" customWidth="1"/>
    <col min="23" max="23" width="11.5703125" style="2" bestFit="1" customWidth="1"/>
    <col min="24" max="24" width="21.28515625" style="2" bestFit="1" customWidth="1"/>
    <col min="25" max="25" width="13.28515625" style="2" bestFit="1" customWidth="1"/>
    <col min="26" max="26" width="29" style="1" bestFit="1" customWidth="1"/>
    <col min="27" max="27" width="26.7109375" style="1" bestFit="1" customWidth="1"/>
    <col min="28" max="28" width="18.28515625" style="1" bestFit="1" customWidth="1"/>
    <col min="29" max="29" width="13.42578125" style="1" bestFit="1" customWidth="1"/>
    <col min="30" max="30" width="17.5703125" style="1" bestFit="1" customWidth="1"/>
    <col min="31" max="31" width="22.28515625" style="1" bestFit="1" customWidth="1"/>
    <col min="32" max="32" width="14.42578125" style="1" bestFit="1" customWidth="1"/>
    <col min="33" max="33" width="11.85546875" style="1" bestFit="1" customWidth="1"/>
    <col min="34" max="34" width="18" style="1" bestFit="1" customWidth="1"/>
    <col min="35" max="35" width="29.85546875" style="1" bestFit="1" customWidth="1"/>
    <col min="36" max="36" width="19" style="1" bestFit="1" customWidth="1"/>
    <col min="37" max="37" width="15.7109375" style="2" bestFit="1" customWidth="1"/>
    <col min="38" max="38" width="24.85546875" style="1" bestFit="1" customWidth="1"/>
    <col min="39" max="39" width="28.140625" style="1" bestFit="1" customWidth="1"/>
    <col min="40" max="40" width="26.7109375" style="1" bestFit="1" customWidth="1"/>
    <col min="41" max="41" width="21.28515625" style="1" bestFit="1" customWidth="1"/>
    <col min="42" max="42" width="26" style="1" bestFit="1" customWidth="1"/>
    <col min="43" max="43" width="30.140625" style="1" bestFit="1" customWidth="1"/>
    <col min="44" max="44" width="27.28515625" style="1" bestFit="1" customWidth="1"/>
    <col min="45" max="45" width="31.42578125" style="1" bestFit="1" customWidth="1"/>
    <col min="46" max="46" width="23.28515625" style="2" bestFit="1" customWidth="1"/>
    <col min="47" max="47" width="31" style="1" bestFit="1" customWidth="1"/>
    <col min="48" max="48" width="24.28515625" style="1" bestFit="1" customWidth="1"/>
    <col min="49" max="49" width="18.28515625" style="1" bestFit="1" customWidth="1"/>
    <col min="50" max="50" width="19.28515625" style="2" bestFit="1" customWidth="1"/>
    <col min="51" max="51" width="23.42578125" style="1" bestFit="1" customWidth="1"/>
    <col min="52" max="52" width="24.28515625" style="2" bestFit="1" customWidth="1"/>
    <col min="53" max="53" width="26" style="1" bestFit="1" customWidth="1"/>
    <col min="54" max="54" width="30.140625" style="1" bestFit="1" customWidth="1"/>
    <col min="55" max="55" width="27.28515625" style="1" bestFit="1" customWidth="1"/>
    <col min="56" max="56" width="31.42578125" style="1" bestFit="1" customWidth="1"/>
    <col min="57" max="57" width="23.28515625" style="1" bestFit="1" customWidth="1"/>
    <col min="58" max="58" width="31" style="1" bestFit="1" customWidth="1"/>
    <col min="59" max="59" width="14.5703125" style="1" bestFit="1" customWidth="1"/>
    <col min="60" max="60" width="18.28515625" style="1" bestFit="1" customWidth="1"/>
    <col min="61" max="61" width="16.28515625" style="1" bestFit="1" customWidth="1"/>
    <col min="62" max="62" width="18.5703125" style="1" bestFit="1" customWidth="1"/>
    <col min="63" max="63" width="19.28515625" style="1" bestFit="1" customWidth="1"/>
    <col min="64" max="64" width="23.42578125" style="2" bestFit="1" customWidth="1"/>
    <col min="65" max="65" width="22" style="1" bestFit="1" customWidth="1"/>
    <col min="66" max="16384" width="20" style="2"/>
  </cols>
  <sheetData>
    <row r="1" spans="1:65" x14ac:dyDescent="0.25">
      <c r="A1" s="187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9"/>
      <c r="S1" s="188"/>
      <c r="T1" s="188"/>
      <c r="U1" s="188"/>
      <c r="V1" s="188"/>
      <c r="W1" s="188"/>
      <c r="X1" s="188"/>
      <c r="Y1" s="188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88"/>
      <c r="AL1" s="190"/>
      <c r="AM1" s="190"/>
      <c r="AN1" s="190"/>
      <c r="AO1" s="190"/>
      <c r="AP1" s="190"/>
      <c r="AQ1" s="190"/>
      <c r="AR1" s="190"/>
      <c r="AS1" s="190"/>
      <c r="AT1" s="188"/>
      <c r="AU1" s="190"/>
      <c r="AV1" s="190"/>
      <c r="AW1" s="190"/>
      <c r="AX1" s="188"/>
      <c r="AY1" s="190"/>
      <c r="AZ1" s="188"/>
      <c r="BA1" s="190"/>
      <c r="BB1" s="190"/>
    </row>
    <row r="2" spans="1:65" x14ac:dyDescent="0.25">
      <c r="A2" s="165" t="s">
        <v>124</v>
      </c>
      <c r="B2"/>
      <c r="C2"/>
      <c r="D2"/>
      <c r="E2"/>
      <c r="F2"/>
      <c r="G2"/>
      <c r="H2"/>
      <c r="I2"/>
      <c r="J2"/>
      <c r="L2" s="191" t="s">
        <v>2</v>
      </c>
      <c r="M2" s="188"/>
      <c r="N2" s="188"/>
      <c r="O2" s="188"/>
      <c r="P2" s="188"/>
      <c r="Q2" s="188"/>
      <c r="R2" s="189"/>
      <c r="S2" s="188"/>
      <c r="T2" s="188"/>
      <c r="U2" s="188"/>
      <c r="V2" s="188"/>
      <c r="W2" s="188"/>
      <c r="X2" s="188"/>
      <c r="Y2" s="188"/>
      <c r="Z2" s="192" t="s">
        <v>3</v>
      </c>
      <c r="AA2" s="190"/>
      <c r="AB2" s="190"/>
      <c r="AC2" s="190"/>
      <c r="AD2" s="190"/>
      <c r="AE2" s="190"/>
      <c r="AF2" s="190"/>
      <c r="AG2" s="190"/>
      <c r="AH2" s="193" t="s">
        <v>4</v>
      </c>
      <c r="AI2" s="190"/>
      <c r="AJ2" s="190"/>
      <c r="AK2" s="188"/>
      <c r="AL2" s="194" t="s">
        <v>5</v>
      </c>
      <c r="AM2" s="190"/>
      <c r="AN2" s="190"/>
      <c r="AO2" s="190"/>
      <c r="AP2" s="190"/>
      <c r="AQ2" s="190"/>
      <c r="AR2" s="190"/>
      <c r="AS2" s="190"/>
      <c r="AT2" s="188"/>
      <c r="AU2" s="190"/>
      <c r="AV2" s="190"/>
      <c r="AW2" s="195" t="s">
        <v>6</v>
      </c>
      <c r="AX2" s="188"/>
      <c r="AY2" s="190"/>
      <c r="AZ2" s="188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88"/>
      <c r="BM2" s="3" t="s">
        <v>7</v>
      </c>
    </row>
    <row r="3" spans="1:65" x14ac:dyDescent="0.25">
      <c r="A3" s="166" t="s">
        <v>1</v>
      </c>
      <c r="B3"/>
      <c r="C3"/>
      <c r="D3"/>
      <c r="E3"/>
      <c r="F3"/>
      <c r="G3"/>
      <c r="H3"/>
      <c r="I3"/>
      <c r="J3"/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5" t="s">
        <v>23</v>
      </c>
      <c r="R3" s="2" t="s">
        <v>8</v>
      </c>
      <c r="S3" s="2" t="s">
        <v>9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28</v>
      </c>
      <c r="Y3" s="1" t="s">
        <v>29</v>
      </c>
      <c r="Z3" s="1" t="s">
        <v>30</v>
      </c>
      <c r="AA3" s="1" t="s">
        <v>31</v>
      </c>
      <c r="AB3" s="1" t="s">
        <v>13</v>
      </c>
      <c r="AC3" s="1" t="s">
        <v>32</v>
      </c>
      <c r="AD3" s="1" t="s">
        <v>33</v>
      </c>
      <c r="AE3" s="1" t="s">
        <v>15</v>
      </c>
      <c r="AF3" s="1" t="s">
        <v>34</v>
      </c>
      <c r="AG3" s="1" t="s">
        <v>35</v>
      </c>
      <c r="AH3" s="1" t="s">
        <v>36</v>
      </c>
      <c r="AI3" s="1" t="s">
        <v>37</v>
      </c>
      <c r="AJ3" s="1" t="s">
        <v>38</v>
      </c>
      <c r="AK3" s="1" t="s">
        <v>39</v>
      </c>
      <c r="AL3" s="1" t="s">
        <v>40</v>
      </c>
      <c r="AM3" s="1" t="s">
        <v>41</v>
      </c>
      <c r="AN3" s="1" t="s">
        <v>42</v>
      </c>
      <c r="AO3" s="1" t="s">
        <v>43</v>
      </c>
      <c r="AP3" s="1" t="s">
        <v>44</v>
      </c>
      <c r="AQ3" s="1" t="s">
        <v>16</v>
      </c>
      <c r="AR3" s="1" t="s">
        <v>45</v>
      </c>
      <c r="AS3" s="1" t="s">
        <v>46</v>
      </c>
      <c r="AT3" s="1" t="s">
        <v>47</v>
      </c>
      <c r="AU3" s="1" t="s">
        <v>48</v>
      </c>
      <c r="AV3" s="2" t="s">
        <v>49</v>
      </c>
      <c r="AW3" s="1" t="s">
        <v>7</v>
      </c>
      <c r="AX3" s="2" t="s">
        <v>123</v>
      </c>
      <c r="AY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M3" s="2"/>
    </row>
    <row r="4" spans="1:65" x14ac:dyDescent="0.25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L4" s="2">
        <v>504016</v>
      </c>
      <c r="M4" s="2" t="s">
        <v>52</v>
      </c>
      <c r="N4" s="2">
        <v>505839</v>
      </c>
      <c r="O4" t="s">
        <v>63</v>
      </c>
      <c r="P4">
        <v>3375325133</v>
      </c>
      <c r="Q4" s="5">
        <v>46023.578263888892</v>
      </c>
      <c r="R4" s="2" t="s">
        <v>54</v>
      </c>
      <c r="S4" s="2" t="s">
        <v>51</v>
      </c>
      <c r="T4" s="2" t="s">
        <v>55</v>
      </c>
      <c r="U4" s="2" t="s">
        <v>56</v>
      </c>
      <c r="V4" s="2" t="s">
        <v>57</v>
      </c>
      <c r="W4" s="2" t="s">
        <v>58</v>
      </c>
      <c r="X4" s="2" t="s">
        <v>59</v>
      </c>
      <c r="Y4" s="1">
        <v>547.58000000000004</v>
      </c>
      <c r="Z4" s="164">
        <v>547.58000000000004</v>
      </c>
      <c r="AA4" s="1">
        <v>0</v>
      </c>
      <c r="AB4" s="1">
        <v>27.38</v>
      </c>
      <c r="AC4" s="1">
        <v>0</v>
      </c>
      <c r="AD4" s="1">
        <v>70.609120000000004</v>
      </c>
      <c r="AE4" s="1">
        <v>574.96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30</v>
      </c>
      <c r="AN4" s="1">
        <v>4.2</v>
      </c>
      <c r="AO4" s="1">
        <v>9.5826499999999992</v>
      </c>
      <c r="AP4" s="1">
        <v>1.3415710000000001</v>
      </c>
      <c r="AQ4" s="164">
        <v>480.33332999999999</v>
      </c>
      <c r="AR4" s="164">
        <v>480.33332999999999</v>
      </c>
      <c r="AS4" s="1">
        <v>120.08333</v>
      </c>
      <c r="AT4" s="1">
        <v>16.811666200000001</v>
      </c>
      <c r="AU4" s="1">
        <v>28.99</v>
      </c>
      <c r="AV4" s="2" t="s">
        <v>60</v>
      </c>
      <c r="AW4" s="1">
        <v>336.57100000000003</v>
      </c>
      <c r="AX4" s="1">
        <f>Table1[[#This Row],[Original Commissionable GMV]]-Table1[[#This Row],[Commission ]]-Table1[[#This Row],[Commission VAT]]-Table1[[#This Row],[FreeDeliveryFund]]</f>
        <v>314.4483338</v>
      </c>
      <c r="AY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M4" s="2"/>
    </row>
    <row r="5" spans="1:65" x14ac:dyDescent="0.25">
      <c r="A5" s="167" t="s">
        <v>50</v>
      </c>
      <c r="B5" s="167" t="s">
        <v>51</v>
      </c>
      <c r="C5" s="168">
        <v>195</v>
      </c>
      <c r="D5" s="169">
        <v>118302.17</v>
      </c>
      <c r="E5" s="169">
        <v>4393.6000000000004</v>
      </c>
      <c r="F5" s="169">
        <v>4524.8900000000003</v>
      </c>
      <c r="G5" s="169">
        <v>0</v>
      </c>
      <c r="H5" s="169">
        <v>126715.66</v>
      </c>
      <c r="I5" s="169">
        <v>103840.49118</v>
      </c>
      <c r="J5" s="169">
        <v>25960.122930000001</v>
      </c>
      <c r="L5" s="2">
        <v>504016</v>
      </c>
      <c r="M5" s="2" t="s">
        <v>52</v>
      </c>
      <c r="N5" s="2">
        <v>505839</v>
      </c>
      <c r="O5" t="s">
        <v>63</v>
      </c>
      <c r="P5">
        <v>3375390969</v>
      </c>
      <c r="Q5" s="5">
        <v>46023.603842592594</v>
      </c>
      <c r="R5" s="2" t="s">
        <v>54</v>
      </c>
      <c r="S5" s="2" t="s">
        <v>51</v>
      </c>
      <c r="T5" s="2" t="s">
        <v>55</v>
      </c>
      <c r="U5" s="2" t="s">
        <v>59</v>
      </c>
      <c r="V5" s="2" t="s">
        <v>57</v>
      </c>
      <c r="W5" s="2" t="s">
        <v>58</v>
      </c>
      <c r="X5" s="2" t="s">
        <v>59</v>
      </c>
      <c r="Y5" s="1">
        <v>239.99</v>
      </c>
      <c r="Z5" s="1">
        <v>239.99</v>
      </c>
      <c r="AA5" s="1">
        <v>0</v>
      </c>
      <c r="AB5" s="1">
        <v>12</v>
      </c>
      <c r="AC5" s="1">
        <v>0</v>
      </c>
      <c r="AD5" s="1">
        <v>30.94614</v>
      </c>
      <c r="AE5" s="1">
        <v>251.99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30</v>
      </c>
      <c r="AN5" s="1">
        <v>4.2</v>
      </c>
      <c r="AO5" s="1">
        <v>4.1998249999999997</v>
      </c>
      <c r="AP5" s="1">
        <v>0.58797549999999998</v>
      </c>
      <c r="AQ5" s="1">
        <v>210.51754</v>
      </c>
      <c r="AR5" s="1">
        <v>210.51754</v>
      </c>
      <c r="AS5" s="1">
        <v>52.629390000000001</v>
      </c>
      <c r="AT5" s="1">
        <v>7.3681146000000002</v>
      </c>
      <c r="AU5" s="1">
        <v>27.99</v>
      </c>
      <c r="AV5" s="2" t="s">
        <v>60</v>
      </c>
      <c r="AW5" s="1">
        <v>113.015</v>
      </c>
      <c r="AX5" s="1">
        <f>Table1[[#This Row],[Original Commissionable GMV]]-Table1[[#This Row],[Commission ]]-Table1[[#This Row],[Commission VAT]]-Table1[[#This Row],[FreeDeliveryFund]]</f>
        <v>122.53003539999999</v>
      </c>
      <c r="AY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M5" s="2"/>
    </row>
    <row r="6" spans="1:65" x14ac:dyDescent="0.25">
      <c r="A6" s="170" t="s">
        <v>50</v>
      </c>
      <c r="B6" s="170" t="s">
        <v>61</v>
      </c>
      <c r="C6" s="171">
        <v>0</v>
      </c>
      <c r="D6" s="172">
        <v>0</v>
      </c>
      <c r="E6" s="172">
        <v>0</v>
      </c>
      <c r="F6" s="172">
        <v>0</v>
      </c>
      <c r="G6" s="172">
        <v>0</v>
      </c>
      <c r="H6" s="172">
        <v>0</v>
      </c>
      <c r="I6" s="172">
        <v>0</v>
      </c>
      <c r="J6" s="172">
        <v>0</v>
      </c>
      <c r="L6" s="2">
        <v>504016</v>
      </c>
      <c r="M6" s="2" t="s">
        <v>52</v>
      </c>
      <c r="N6" s="2">
        <v>505839</v>
      </c>
      <c r="O6" t="s">
        <v>65</v>
      </c>
      <c r="P6">
        <v>3375439650</v>
      </c>
      <c r="Q6" s="5">
        <v>46023.622349537036</v>
      </c>
      <c r="R6" s="2" t="s">
        <v>62</v>
      </c>
      <c r="S6" s="2" t="s">
        <v>51</v>
      </c>
      <c r="T6" s="2" t="s">
        <v>55</v>
      </c>
      <c r="U6" s="2" t="s">
        <v>56</v>
      </c>
      <c r="V6" s="2" t="s">
        <v>57</v>
      </c>
      <c r="W6" s="2" t="s">
        <v>58</v>
      </c>
      <c r="X6" s="2" t="s">
        <v>59</v>
      </c>
      <c r="Y6" s="1">
        <v>218.08</v>
      </c>
      <c r="Z6" s="1">
        <v>218.08</v>
      </c>
      <c r="AA6" s="1">
        <v>7</v>
      </c>
      <c r="AB6" s="1">
        <v>10.9</v>
      </c>
      <c r="AC6" s="1">
        <v>0</v>
      </c>
      <c r="AD6" s="1">
        <v>23.453679999999999</v>
      </c>
      <c r="AE6" s="1">
        <v>190.98</v>
      </c>
      <c r="AG6" s="1">
        <v>0</v>
      </c>
      <c r="AH6" s="1">
        <v>45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191.29825</v>
      </c>
      <c r="AR6" s="1">
        <v>191.29825</v>
      </c>
      <c r="AS6" s="1">
        <v>47.824559999999998</v>
      </c>
      <c r="AT6" s="1">
        <v>6.6954383999999996</v>
      </c>
      <c r="AU6" s="1">
        <v>28.99</v>
      </c>
      <c r="AV6" s="2" t="s">
        <v>60</v>
      </c>
      <c r="AW6" s="1">
        <v>134.57</v>
      </c>
      <c r="AX6" s="1">
        <f>Table1[[#This Row],[Original Commissionable GMV]]-Table1[[#This Row],[Commission ]]-Table1[[#This Row],[Commission VAT]]-Table1[[#This Row],[FreeDeliveryFund]]</f>
        <v>107.78825160000001</v>
      </c>
      <c r="AY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M6" s="2"/>
    </row>
    <row r="7" spans="1:65" x14ac:dyDescent="0.25">
      <c r="A7" s="167" t="s">
        <v>54</v>
      </c>
      <c r="B7" s="167" t="s">
        <v>51</v>
      </c>
      <c r="C7" s="168">
        <v>736</v>
      </c>
      <c r="D7" s="169">
        <v>470948.17</v>
      </c>
      <c r="E7" s="169">
        <v>9078.26</v>
      </c>
      <c r="F7" s="169">
        <v>17345.21</v>
      </c>
      <c r="G7" s="169">
        <v>0</v>
      </c>
      <c r="H7" s="169">
        <v>495311.64</v>
      </c>
      <c r="I7" s="169">
        <v>414124.62258999998</v>
      </c>
      <c r="J7" s="169">
        <v>103531.1566</v>
      </c>
      <c r="L7" s="2">
        <v>504016</v>
      </c>
      <c r="M7" s="2" t="s">
        <v>52</v>
      </c>
      <c r="N7" s="2">
        <v>505837</v>
      </c>
      <c r="O7" t="s">
        <v>53</v>
      </c>
      <c r="P7">
        <v>3375447599</v>
      </c>
      <c r="Q7" s="5">
        <v>46023.625300925924</v>
      </c>
      <c r="R7" s="2" t="s">
        <v>54</v>
      </c>
      <c r="S7" s="2" t="s">
        <v>51</v>
      </c>
      <c r="T7" s="2" t="s">
        <v>55</v>
      </c>
      <c r="U7" s="2" t="s">
        <v>59</v>
      </c>
      <c r="V7" s="2" t="s">
        <v>57</v>
      </c>
      <c r="W7" s="2" t="s">
        <v>58</v>
      </c>
      <c r="X7" s="2" t="s">
        <v>59</v>
      </c>
      <c r="Y7" s="1">
        <v>859.7</v>
      </c>
      <c r="Z7" s="1">
        <v>859.7</v>
      </c>
      <c r="AA7" s="1">
        <v>0</v>
      </c>
      <c r="AB7" s="1">
        <v>29.99</v>
      </c>
      <c r="AC7" s="1">
        <v>0</v>
      </c>
      <c r="AD7" s="1">
        <v>109.26018000000001</v>
      </c>
      <c r="AE7" s="1">
        <v>889.69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15.044750000000001</v>
      </c>
      <c r="AP7" s="1">
        <v>2.1062650000000001</v>
      </c>
      <c r="AQ7" s="1">
        <v>754.12280999999996</v>
      </c>
      <c r="AR7" s="1">
        <v>754.12280999999996</v>
      </c>
      <c r="AS7" s="1">
        <v>188.5307</v>
      </c>
      <c r="AT7" s="1">
        <v>26.394297999999999</v>
      </c>
      <c r="AU7" s="1">
        <v>33.99</v>
      </c>
      <c r="AV7" s="2" t="s">
        <v>60</v>
      </c>
      <c r="AW7" s="1">
        <v>593.63400000000001</v>
      </c>
      <c r="AX7" s="1">
        <f>Table1[[#This Row],[Original Commissionable GMV]]-Table1[[#This Row],[Commission ]]-Table1[[#This Row],[Commission VAT]]-Table1[[#This Row],[FreeDeliveryFund]]</f>
        <v>505.20781199999988</v>
      </c>
      <c r="AY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M7" s="2"/>
    </row>
    <row r="8" spans="1:65" x14ac:dyDescent="0.25">
      <c r="A8" s="170" t="s">
        <v>54</v>
      </c>
      <c r="B8" s="170" t="s">
        <v>61</v>
      </c>
      <c r="C8" s="171">
        <v>10</v>
      </c>
      <c r="D8" s="172">
        <v>3728.63</v>
      </c>
      <c r="E8" s="172">
        <v>14</v>
      </c>
      <c r="F8" s="172">
        <v>163.69</v>
      </c>
      <c r="G8" s="172">
        <v>0</v>
      </c>
      <c r="H8" s="172">
        <v>3862.52</v>
      </c>
      <c r="I8" s="172">
        <v>3270.7280700000001</v>
      </c>
      <c r="J8" s="172">
        <v>817.68204000000003</v>
      </c>
      <c r="L8" s="2">
        <v>504016</v>
      </c>
      <c r="M8" s="2" t="s">
        <v>52</v>
      </c>
      <c r="N8" s="2">
        <v>505837</v>
      </c>
      <c r="O8" t="s">
        <v>53</v>
      </c>
      <c r="P8">
        <v>3375457122</v>
      </c>
      <c r="Q8" s="5">
        <v>46023.62877314815</v>
      </c>
      <c r="R8" s="2" t="s">
        <v>54</v>
      </c>
      <c r="S8" s="2" t="s">
        <v>51</v>
      </c>
      <c r="T8" s="2" t="s">
        <v>55</v>
      </c>
      <c r="U8" s="2" t="s">
        <v>59</v>
      </c>
      <c r="V8" s="2" t="s">
        <v>57</v>
      </c>
      <c r="W8" s="2" t="s">
        <v>58</v>
      </c>
      <c r="X8" s="2" t="s">
        <v>59</v>
      </c>
      <c r="Y8" s="1">
        <v>526.98</v>
      </c>
      <c r="Z8" s="1">
        <v>526.98</v>
      </c>
      <c r="AA8" s="1">
        <v>39.99</v>
      </c>
      <c r="AB8" s="1">
        <v>26.35</v>
      </c>
      <c r="AC8" s="1">
        <v>0</v>
      </c>
      <c r="AD8" s="1">
        <v>72.863860000000003</v>
      </c>
      <c r="AE8" s="1">
        <v>593.32000000000005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30</v>
      </c>
      <c r="AN8" s="1">
        <v>4.2</v>
      </c>
      <c r="AO8" s="1">
        <v>9.2221499999999992</v>
      </c>
      <c r="AP8" s="1">
        <v>1.2911010000000001</v>
      </c>
      <c r="AQ8" s="1">
        <v>462.26316000000003</v>
      </c>
      <c r="AR8" s="1">
        <v>462.26316000000003</v>
      </c>
      <c r="AS8" s="1">
        <v>115.56579000000001</v>
      </c>
      <c r="AT8" s="1">
        <v>16.179210600000001</v>
      </c>
      <c r="AU8" s="1">
        <v>0</v>
      </c>
      <c r="AV8" s="2" t="s">
        <v>69</v>
      </c>
      <c r="AW8" s="1">
        <v>350.52199999999999</v>
      </c>
      <c r="AX8" s="1">
        <f>Table1[[#This Row],[Original Commissionable GMV]]-Table1[[#This Row],[Commission ]]-Table1[[#This Row],[Commission VAT]]-Table1[[#This Row],[FreeDeliveryFund]]</f>
        <v>330.51815940000006</v>
      </c>
      <c r="AY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M8" s="2"/>
    </row>
    <row r="9" spans="1:65" x14ac:dyDescent="0.25">
      <c r="A9" s="167" t="s">
        <v>64</v>
      </c>
      <c r="B9" s="167" t="s">
        <v>51</v>
      </c>
      <c r="C9" s="168">
        <v>0</v>
      </c>
      <c r="D9" s="169">
        <v>0</v>
      </c>
      <c r="E9" s="169">
        <v>0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L9" s="2">
        <v>504016</v>
      </c>
      <c r="M9" s="2" t="s">
        <v>52</v>
      </c>
      <c r="N9" s="2">
        <v>505837</v>
      </c>
      <c r="O9" t="s">
        <v>53</v>
      </c>
      <c r="P9">
        <v>3375470393</v>
      </c>
      <c r="Q9" s="5">
        <v>46023.633622685185</v>
      </c>
      <c r="R9" s="2" t="s">
        <v>54</v>
      </c>
      <c r="S9" s="2" t="s">
        <v>51</v>
      </c>
      <c r="T9" s="2" t="s">
        <v>55</v>
      </c>
      <c r="U9" s="2" t="s">
        <v>56</v>
      </c>
      <c r="V9" s="2" t="s">
        <v>57</v>
      </c>
      <c r="W9" s="2" t="s">
        <v>58</v>
      </c>
      <c r="X9" s="2" t="s">
        <v>59</v>
      </c>
      <c r="Y9" s="1">
        <v>795.65</v>
      </c>
      <c r="Z9" s="1">
        <v>795.65</v>
      </c>
      <c r="AA9" s="1">
        <v>0</v>
      </c>
      <c r="AB9" s="1">
        <v>29.99</v>
      </c>
      <c r="AC9" s="1">
        <v>0</v>
      </c>
      <c r="AD9" s="1">
        <v>101.39439</v>
      </c>
      <c r="AE9" s="1">
        <v>825.64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30</v>
      </c>
      <c r="AN9" s="1">
        <v>4.2</v>
      </c>
      <c r="AO9" s="1">
        <v>13.923875000000001</v>
      </c>
      <c r="AP9" s="1">
        <v>1.9493425</v>
      </c>
      <c r="AQ9" s="1">
        <v>697.93859999999995</v>
      </c>
      <c r="AR9" s="1">
        <v>697.93859999999995</v>
      </c>
      <c r="AS9" s="1">
        <v>174.48464999999999</v>
      </c>
      <c r="AT9" s="1">
        <v>24.427851</v>
      </c>
      <c r="AU9" s="1">
        <v>34.99</v>
      </c>
      <c r="AV9" s="2" t="s">
        <v>60</v>
      </c>
      <c r="AW9" s="1">
        <v>511.67399999999998</v>
      </c>
      <c r="AX9" s="1">
        <f>Table1[[#This Row],[Original Commissionable GMV]]-Table1[[#This Row],[Commission ]]-Table1[[#This Row],[Commission VAT]]-Table1[[#This Row],[FreeDeliveryFund]]</f>
        <v>464.03609899999998</v>
      </c>
      <c r="AY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M9" s="2"/>
    </row>
    <row r="10" spans="1:65" x14ac:dyDescent="0.25">
      <c r="A10" s="170" t="s">
        <v>64</v>
      </c>
      <c r="B10" s="170" t="s">
        <v>61</v>
      </c>
      <c r="C10" s="171">
        <v>0</v>
      </c>
      <c r="D10" s="172">
        <v>0</v>
      </c>
      <c r="E10" s="172">
        <v>0</v>
      </c>
      <c r="F10" s="172">
        <v>0</v>
      </c>
      <c r="G10" s="172">
        <v>0</v>
      </c>
      <c r="H10" s="172">
        <v>0</v>
      </c>
      <c r="I10" s="172">
        <v>0</v>
      </c>
      <c r="J10" s="172">
        <v>0</v>
      </c>
      <c r="L10" s="2">
        <v>504016</v>
      </c>
      <c r="M10" s="2" t="s">
        <v>52</v>
      </c>
      <c r="N10" s="2">
        <v>505839</v>
      </c>
      <c r="O10" t="s">
        <v>63</v>
      </c>
      <c r="P10">
        <v>3375545451</v>
      </c>
      <c r="Q10" s="5">
        <v>46023.660601851851</v>
      </c>
      <c r="R10" s="2" t="s">
        <v>54</v>
      </c>
      <c r="S10" s="2" t="s">
        <v>51</v>
      </c>
      <c r="T10" s="2" t="s">
        <v>55</v>
      </c>
      <c r="U10" s="2" t="s">
        <v>59</v>
      </c>
      <c r="V10" s="2" t="s">
        <v>57</v>
      </c>
      <c r="W10" s="2" t="s">
        <v>58</v>
      </c>
      <c r="X10" s="2" t="s">
        <v>59</v>
      </c>
      <c r="Y10" s="1">
        <v>844</v>
      </c>
      <c r="Z10" s="1">
        <v>844</v>
      </c>
      <c r="AA10" s="1">
        <v>0</v>
      </c>
      <c r="AB10" s="1">
        <v>29.99</v>
      </c>
      <c r="AC10" s="1">
        <v>0</v>
      </c>
      <c r="AD10" s="1">
        <v>107.33211</v>
      </c>
      <c r="AE10" s="1">
        <v>873.99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14.77</v>
      </c>
      <c r="AP10" s="1">
        <v>2.0678000000000001</v>
      </c>
      <c r="AQ10" s="1">
        <v>740.35087999999996</v>
      </c>
      <c r="AR10" s="1">
        <v>740.35087999999996</v>
      </c>
      <c r="AS10" s="1">
        <v>185.08771999999999</v>
      </c>
      <c r="AT10" s="1">
        <v>25.912280800000001</v>
      </c>
      <c r="AU10" s="1">
        <v>28.99</v>
      </c>
      <c r="AV10" s="2" t="s">
        <v>60</v>
      </c>
      <c r="AW10" s="1">
        <v>587.17200000000003</v>
      </c>
      <c r="AX10" s="1">
        <f>Table1[[#This Row],[Original Commissionable GMV]]-Table1[[#This Row],[Commission ]]-Table1[[#This Row],[Commission VAT]]-Table1[[#This Row],[FreeDeliveryFund]]</f>
        <v>500.3608792</v>
      </c>
      <c r="AY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M10" s="2"/>
    </row>
    <row r="11" spans="1:65" x14ac:dyDescent="0.25">
      <c r="A11" s="167" t="s">
        <v>66</v>
      </c>
      <c r="B11" s="167" t="s">
        <v>51</v>
      </c>
      <c r="C11" s="168">
        <v>35</v>
      </c>
      <c r="D11" s="169">
        <v>20036.77</v>
      </c>
      <c r="E11" s="169">
        <v>273.92</v>
      </c>
      <c r="F11" s="169">
        <v>771.04</v>
      </c>
      <c r="G11" s="169">
        <v>0</v>
      </c>
      <c r="H11" s="169">
        <v>20936.73</v>
      </c>
      <c r="I11" s="169">
        <v>17576.114020000001</v>
      </c>
      <c r="J11" s="169">
        <v>4394.0285100000001</v>
      </c>
      <c r="L11" s="2">
        <v>504016</v>
      </c>
      <c r="M11" s="2" t="s">
        <v>52</v>
      </c>
      <c r="N11" s="2">
        <v>505837</v>
      </c>
      <c r="O11" t="s">
        <v>63</v>
      </c>
      <c r="P11">
        <v>3375562796</v>
      </c>
      <c r="Q11" s="5">
        <v>46023.666909722226</v>
      </c>
      <c r="R11" s="2" t="s">
        <v>62</v>
      </c>
      <c r="S11" s="2" t="s">
        <v>51</v>
      </c>
      <c r="T11" s="2" t="s">
        <v>55</v>
      </c>
      <c r="U11" s="2" t="s">
        <v>56</v>
      </c>
      <c r="V11" s="2" t="s">
        <v>57</v>
      </c>
      <c r="W11" s="2" t="s">
        <v>58</v>
      </c>
      <c r="X11" s="2" t="s">
        <v>59</v>
      </c>
      <c r="Y11" s="1">
        <v>404.99</v>
      </c>
      <c r="Z11" s="1">
        <v>404.99</v>
      </c>
      <c r="AA11" s="1">
        <v>26.99</v>
      </c>
      <c r="AB11" s="1">
        <v>20.25</v>
      </c>
      <c r="AC11" s="1">
        <v>0</v>
      </c>
      <c r="AD11" s="1">
        <v>55.537019999999998</v>
      </c>
      <c r="AE11" s="1">
        <v>452.23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355.25439</v>
      </c>
      <c r="AR11" s="1">
        <v>355.25439</v>
      </c>
      <c r="AS11" s="1">
        <v>88.813599999999994</v>
      </c>
      <c r="AT11" s="1">
        <v>12.433904</v>
      </c>
      <c r="AU11" s="1">
        <v>0</v>
      </c>
      <c r="AV11" s="2" t="s">
        <v>69</v>
      </c>
      <c r="AW11" s="1">
        <v>303.74200000000002</v>
      </c>
      <c r="AX11" s="1">
        <f>Table1[[#This Row],[Original Commissionable GMV]]-Table1[[#This Row],[Commission ]]-Table1[[#This Row],[Commission VAT]]-Table1[[#This Row],[FreeDeliveryFund]]</f>
        <v>254.00688599999998</v>
      </c>
      <c r="AY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M11" s="2"/>
    </row>
    <row r="12" spans="1:65" x14ac:dyDescent="0.25">
      <c r="A12" s="170" t="s">
        <v>66</v>
      </c>
      <c r="B12" s="170" t="s">
        <v>61</v>
      </c>
      <c r="C12" s="171">
        <v>0</v>
      </c>
      <c r="D12" s="172">
        <v>0</v>
      </c>
      <c r="E12" s="172">
        <v>0</v>
      </c>
      <c r="F12" s="172">
        <v>0</v>
      </c>
      <c r="G12" s="172">
        <v>0</v>
      </c>
      <c r="H12" s="172">
        <v>0</v>
      </c>
      <c r="I12" s="172">
        <v>0</v>
      </c>
      <c r="J12" s="172">
        <v>0</v>
      </c>
      <c r="L12" s="2">
        <v>504016</v>
      </c>
      <c r="M12" s="2" t="s">
        <v>52</v>
      </c>
      <c r="N12" s="2">
        <v>505837</v>
      </c>
      <c r="O12" t="s">
        <v>53</v>
      </c>
      <c r="P12">
        <v>3375569322</v>
      </c>
      <c r="Q12" s="5">
        <v>46023.669166666667</v>
      </c>
      <c r="R12" s="2" t="s">
        <v>54</v>
      </c>
      <c r="S12" s="2" t="s">
        <v>51</v>
      </c>
      <c r="T12" s="2" t="s">
        <v>55</v>
      </c>
      <c r="U12" s="2" t="s">
        <v>59</v>
      </c>
      <c r="V12" s="2" t="s">
        <v>57</v>
      </c>
      <c r="W12" s="2" t="s">
        <v>58</v>
      </c>
      <c r="X12" s="2" t="s">
        <v>59</v>
      </c>
      <c r="Y12" s="1">
        <v>339.98</v>
      </c>
      <c r="Z12" s="1">
        <v>339.98</v>
      </c>
      <c r="AA12" s="1">
        <v>0</v>
      </c>
      <c r="AB12" s="1">
        <v>17</v>
      </c>
      <c r="AC12" s="1">
        <v>0</v>
      </c>
      <c r="AD12" s="1">
        <v>43.839649999999999</v>
      </c>
      <c r="AE12" s="1">
        <v>356.98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5.9496500000000001</v>
      </c>
      <c r="AP12" s="1">
        <v>0.832951</v>
      </c>
      <c r="AQ12" s="1">
        <v>298.22807</v>
      </c>
      <c r="AR12" s="1">
        <v>298.22807</v>
      </c>
      <c r="AS12" s="1">
        <v>74.557019999999994</v>
      </c>
      <c r="AT12" s="1">
        <v>10.4379828</v>
      </c>
      <c r="AU12" s="1">
        <v>30.99</v>
      </c>
      <c r="AV12" s="2" t="s">
        <v>60</v>
      </c>
      <c r="AW12" s="1">
        <v>217.21199999999999</v>
      </c>
      <c r="AX12" s="1">
        <f>Table1[[#This Row],[Original Commissionable GMV]]-Table1[[#This Row],[Commission ]]-Table1[[#This Row],[Commission VAT]]-Table1[[#This Row],[FreeDeliveryFund]]</f>
        <v>182.24306719999998</v>
      </c>
      <c r="AY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M12" s="2"/>
    </row>
    <row r="13" spans="1:65" x14ac:dyDescent="0.25">
      <c r="A13" s="165" t="s">
        <v>67</v>
      </c>
      <c r="B13" s="165" t="s">
        <v>68</v>
      </c>
      <c r="C13" s="173">
        <v>976</v>
      </c>
      <c r="D13" s="173">
        <v>613015.74</v>
      </c>
      <c r="E13" s="173">
        <v>13759.78</v>
      </c>
      <c r="F13" s="173">
        <v>22804.83</v>
      </c>
      <c r="G13" s="173">
        <v>0</v>
      </c>
      <c r="H13" s="173">
        <v>646826.55000000005</v>
      </c>
      <c r="I13" s="173">
        <v>538811.95585999999</v>
      </c>
      <c r="J13" s="173">
        <v>134702.99007999999</v>
      </c>
      <c r="L13" s="2">
        <v>504016</v>
      </c>
      <c r="M13" s="2" t="s">
        <v>52</v>
      </c>
      <c r="N13" s="2">
        <v>505837</v>
      </c>
      <c r="O13" t="s">
        <v>53</v>
      </c>
      <c r="P13">
        <v>3375604271</v>
      </c>
      <c r="Q13" s="5">
        <v>46023.680983796294</v>
      </c>
      <c r="R13" s="2" t="s">
        <v>62</v>
      </c>
      <c r="S13" s="2" t="s">
        <v>51</v>
      </c>
      <c r="T13" s="2" t="s">
        <v>55</v>
      </c>
      <c r="U13" s="2" t="s">
        <v>59</v>
      </c>
      <c r="V13" s="2" t="s">
        <v>57</v>
      </c>
      <c r="W13" s="2" t="s">
        <v>58</v>
      </c>
      <c r="X13" s="2" t="s">
        <v>59</v>
      </c>
      <c r="Y13" s="1">
        <v>1474.91</v>
      </c>
      <c r="Z13" s="1">
        <v>1474.91</v>
      </c>
      <c r="AA13" s="1">
        <v>43.99</v>
      </c>
      <c r="AB13" s="1">
        <v>29.99</v>
      </c>
      <c r="AC13" s="1">
        <v>0</v>
      </c>
      <c r="AD13" s="1">
        <v>190.21456000000001</v>
      </c>
      <c r="AE13" s="1">
        <v>1548.89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30</v>
      </c>
      <c r="AN13" s="1">
        <v>4.2</v>
      </c>
      <c r="AO13" s="1">
        <v>0</v>
      </c>
      <c r="AP13" s="1">
        <v>0</v>
      </c>
      <c r="AQ13" s="1">
        <v>1293.7807</v>
      </c>
      <c r="AR13" s="1">
        <v>1293.7807</v>
      </c>
      <c r="AS13" s="1">
        <v>323.44517999999999</v>
      </c>
      <c r="AT13" s="1">
        <v>45.282325200000002</v>
      </c>
      <c r="AU13" s="1">
        <v>0</v>
      </c>
      <c r="AV13" s="2" t="s">
        <v>69</v>
      </c>
      <c r="AW13" s="1">
        <v>1071.982</v>
      </c>
      <c r="AX13" s="1">
        <f>Table1[[#This Row],[Original Commissionable GMV]]-Table1[[#This Row],[Commission ]]-Table1[[#This Row],[Commission VAT]]-Table1[[#This Row],[FreeDeliveryFund]]</f>
        <v>925.05319480000003</v>
      </c>
      <c r="AY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M13" s="2"/>
    </row>
    <row r="14" spans="1:65" x14ac:dyDescent="0.25">
      <c r="A14"/>
      <c r="B14"/>
      <c r="C14"/>
      <c r="D14"/>
      <c r="E14"/>
      <c r="F14"/>
      <c r="G14"/>
      <c r="H14"/>
      <c r="I14"/>
      <c r="J14"/>
      <c r="L14" s="2">
        <v>504016</v>
      </c>
      <c r="M14" s="2" t="s">
        <v>52</v>
      </c>
      <c r="N14" s="2">
        <v>505839</v>
      </c>
      <c r="O14" t="s">
        <v>53</v>
      </c>
      <c r="P14">
        <v>3375641892</v>
      </c>
      <c r="Q14" s="5">
        <v>46023.69332175926</v>
      </c>
      <c r="R14" s="2" t="s">
        <v>54</v>
      </c>
      <c r="S14" s="2" t="s">
        <v>51</v>
      </c>
      <c r="T14" s="2" t="s">
        <v>55</v>
      </c>
      <c r="U14" s="2" t="s">
        <v>56</v>
      </c>
      <c r="V14" s="2" t="s">
        <v>57</v>
      </c>
      <c r="W14" s="2" t="s">
        <v>58</v>
      </c>
      <c r="X14" s="2" t="s">
        <v>59</v>
      </c>
      <c r="Y14" s="1">
        <v>797.99</v>
      </c>
      <c r="Z14" s="1">
        <v>797.99</v>
      </c>
      <c r="AA14" s="1">
        <v>32.99</v>
      </c>
      <c r="AB14" s="1">
        <v>29.99</v>
      </c>
      <c r="AC14" s="1">
        <v>0</v>
      </c>
      <c r="AD14" s="1">
        <v>105.73316</v>
      </c>
      <c r="AE14" s="1">
        <v>860.97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13.964824999999999</v>
      </c>
      <c r="AP14" s="1">
        <v>1.9550755</v>
      </c>
      <c r="AQ14" s="1">
        <v>699.99122999999997</v>
      </c>
      <c r="AR14" s="1">
        <v>699.99122999999997</v>
      </c>
      <c r="AS14" s="1">
        <v>174.99780999999999</v>
      </c>
      <c r="AT14" s="1">
        <v>24.499693400000002</v>
      </c>
      <c r="AU14" s="1">
        <v>0</v>
      </c>
      <c r="AV14" s="2" t="s">
        <v>69</v>
      </c>
      <c r="AW14" s="1">
        <v>582.57299999999998</v>
      </c>
      <c r="AX14" s="1">
        <f>Table1[[#This Row],[Original Commissionable GMV]]-Table1[[#This Row],[Commission ]]-Table1[[#This Row],[Commission VAT]]-Table1[[#This Row],[FreeDeliveryFund]]</f>
        <v>500.4937266</v>
      </c>
      <c r="AY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M14" s="2"/>
    </row>
    <row r="15" spans="1:65" x14ac:dyDescent="0.25">
      <c r="A15" s="166" t="s">
        <v>70</v>
      </c>
      <c r="B15"/>
      <c r="C15"/>
      <c r="D15"/>
      <c r="E15"/>
      <c r="F15"/>
      <c r="G15"/>
      <c r="H15"/>
      <c r="I15"/>
      <c r="J15"/>
      <c r="L15" s="2">
        <v>504016</v>
      </c>
      <c r="M15" s="2" t="s">
        <v>52</v>
      </c>
      <c r="N15" s="2">
        <v>505837</v>
      </c>
      <c r="O15" t="s">
        <v>53</v>
      </c>
      <c r="P15">
        <v>3375649759</v>
      </c>
      <c r="Q15" s="5">
        <v>46023.695856481485</v>
      </c>
      <c r="R15" s="2" t="s">
        <v>62</v>
      </c>
      <c r="S15" s="2" t="s">
        <v>51</v>
      </c>
      <c r="T15" s="2" t="s">
        <v>55</v>
      </c>
      <c r="U15" s="2" t="s">
        <v>59</v>
      </c>
      <c r="V15" s="2" t="s">
        <v>57</v>
      </c>
      <c r="W15" s="2" t="s">
        <v>58</v>
      </c>
      <c r="X15" s="2" t="s">
        <v>59</v>
      </c>
      <c r="Y15" s="1">
        <v>244.99</v>
      </c>
      <c r="Z15" s="1">
        <v>244.99</v>
      </c>
      <c r="AA15" s="1">
        <v>32.99</v>
      </c>
      <c r="AB15" s="1">
        <v>12.25</v>
      </c>
      <c r="AC15" s="1">
        <v>0</v>
      </c>
      <c r="AD15" s="1">
        <v>35.64228</v>
      </c>
      <c r="AE15" s="1">
        <v>290.23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214.90351000000001</v>
      </c>
      <c r="AR15" s="1">
        <v>214.90351000000001</v>
      </c>
      <c r="AS15" s="1">
        <v>53.725879999999997</v>
      </c>
      <c r="AT15" s="1">
        <v>7.5216231999999996</v>
      </c>
      <c r="AU15" s="1">
        <v>0</v>
      </c>
      <c r="AV15" s="2" t="s">
        <v>69</v>
      </c>
      <c r="AW15" s="1">
        <v>183.74199999999999</v>
      </c>
      <c r="AX15" s="1">
        <f>Table1[[#This Row],[Original Commissionable GMV]]-Table1[[#This Row],[Commission ]]-Table1[[#This Row],[Commission VAT]]-Table1[[#This Row],[FreeDeliveryFund]]</f>
        <v>153.65600680000003</v>
      </c>
      <c r="AY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M15" s="2"/>
    </row>
    <row r="16" spans="1:65" x14ac:dyDescent="0.25">
      <c r="A16" s="4" t="s">
        <v>8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  <c r="G16" s="4" t="s">
        <v>14</v>
      </c>
      <c r="H16" s="4" t="s">
        <v>15</v>
      </c>
      <c r="I16" s="4" t="s">
        <v>16</v>
      </c>
      <c r="J16" s="4" t="s">
        <v>17</v>
      </c>
      <c r="L16" s="2">
        <v>504016</v>
      </c>
      <c r="M16" s="2" t="s">
        <v>52</v>
      </c>
      <c r="N16" s="2">
        <v>505837</v>
      </c>
      <c r="O16" t="s">
        <v>53</v>
      </c>
      <c r="P16">
        <v>3375714885</v>
      </c>
      <c r="Q16" s="5">
        <v>46023.716898148145</v>
      </c>
      <c r="R16" s="2" t="s">
        <v>54</v>
      </c>
      <c r="S16" s="2" t="s">
        <v>51</v>
      </c>
      <c r="T16" s="2" t="s">
        <v>55</v>
      </c>
      <c r="U16" s="2" t="s">
        <v>56</v>
      </c>
      <c r="V16" s="2" t="s">
        <v>57</v>
      </c>
      <c r="W16" s="2" t="s">
        <v>58</v>
      </c>
      <c r="X16" s="2" t="s">
        <v>59</v>
      </c>
      <c r="Y16" s="1">
        <v>820.98</v>
      </c>
      <c r="Z16" s="1">
        <v>820.98</v>
      </c>
      <c r="AA16" s="1">
        <v>42.99</v>
      </c>
      <c r="AB16" s="1">
        <v>29.99</v>
      </c>
      <c r="AC16" s="1">
        <v>0</v>
      </c>
      <c r="AD16" s="1">
        <v>109.78456</v>
      </c>
      <c r="AE16" s="1">
        <v>893.96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14.367150000000001</v>
      </c>
      <c r="AP16" s="1">
        <v>2.0114010000000002</v>
      </c>
      <c r="AQ16" s="1">
        <v>720.15788999999995</v>
      </c>
      <c r="AR16" s="1">
        <v>720.15788999999995</v>
      </c>
      <c r="AS16" s="1">
        <v>180.03946999999999</v>
      </c>
      <c r="AT16" s="1">
        <v>25.2055258</v>
      </c>
      <c r="AU16" s="1">
        <v>0</v>
      </c>
      <c r="AV16" s="2" t="s">
        <v>69</v>
      </c>
      <c r="AW16" s="1">
        <v>599.35599999999999</v>
      </c>
      <c r="AX16" s="1">
        <f>Table1[[#This Row],[Original Commissionable GMV]]-Table1[[#This Row],[Commission ]]-Table1[[#This Row],[Commission VAT]]-Table1[[#This Row],[FreeDeliveryFund]]</f>
        <v>514.91289419999998</v>
      </c>
      <c r="AY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M16" s="2"/>
    </row>
    <row r="17" spans="1:65" x14ac:dyDescent="0.25">
      <c r="A17" s="167" t="s">
        <v>50</v>
      </c>
      <c r="B17" s="167" t="s">
        <v>51</v>
      </c>
      <c r="C17" s="168">
        <v>0</v>
      </c>
      <c r="D17" s="169">
        <v>0</v>
      </c>
      <c r="E17" s="169">
        <v>0</v>
      </c>
      <c r="F17" s="169">
        <v>0</v>
      </c>
      <c r="G17" s="169">
        <v>0</v>
      </c>
      <c r="H17" s="169">
        <v>0</v>
      </c>
      <c r="I17" s="169">
        <v>0</v>
      </c>
      <c r="J17" s="169">
        <v>0</v>
      </c>
      <c r="L17" s="2">
        <v>504016</v>
      </c>
      <c r="M17" s="2" t="s">
        <v>52</v>
      </c>
      <c r="N17" s="2">
        <v>505839</v>
      </c>
      <c r="O17" t="s">
        <v>53</v>
      </c>
      <c r="P17">
        <v>3375732742</v>
      </c>
      <c r="Q17" s="5">
        <v>46023.722488425927</v>
      </c>
      <c r="R17" s="2" t="s">
        <v>54</v>
      </c>
      <c r="S17" s="2" t="s">
        <v>51</v>
      </c>
      <c r="T17" s="2" t="s">
        <v>55</v>
      </c>
      <c r="U17" s="2" t="s">
        <v>59</v>
      </c>
      <c r="V17" s="2" t="s">
        <v>57</v>
      </c>
      <c r="W17" s="2" t="s">
        <v>58</v>
      </c>
      <c r="X17" s="2" t="s">
        <v>59</v>
      </c>
      <c r="Y17" s="1">
        <v>299.97000000000003</v>
      </c>
      <c r="Z17" s="1">
        <v>299.97000000000003</v>
      </c>
      <c r="AA17" s="1">
        <v>44.99</v>
      </c>
      <c r="AB17" s="1">
        <v>15</v>
      </c>
      <c r="AC17" s="1">
        <v>0</v>
      </c>
      <c r="AD17" s="1">
        <v>44.20561</v>
      </c>
      <c r="AE17" s="1">
        <v>359.96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5.2494750000000003</v>
      </c>
      <c r="AP17" s="1">
        <v>0.73492650000000004</v>
      </c>
      <c r="AQ17" s="1">
        <v>263.13157999999999</v>
      </c>
      <c r="AR17" s="1">
        <v>263.13157999999999</v>
      </c>
      <c r="AS17" s="1">
        <v>65.782899999999998</v>
      </c>
      <c r="AT17" s="1">
        <v>9.2096060000000008</v>
      </c>
      <c r="AU17" s="1">
        <v>0</v>
      </c>
      <c r="AV17" s="2" t="s">
        <v>69</v>
      </c>
      <c r="AW17" s="1">
        <v>218.99299999999999</v>
      </c>
      <c r="AX17" s="1">
        <f>Table1[[#This Row],[Original Commissionable GMV]]-Table1[[#This Row],[Commission ]]-Table1[[#This Row],[Commission VAT]]-Table1[[#This Row],[FreeDeliveryFund]]</f>
        <v>188.13907399999999</v>
      </c>
      <c r="AY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M17" s="2"/>
    </row>
    <row r="18" spans="1:65" x14ac:dyDescent="0.25">
      <c r="A18" s="167" t="s">
        <v>54</v>
      </c>
      <c r="B18" s="167" t="s">
        <v>51</v>
      </c>
      <c r="C18" s="168">
        <v>6</v>
      </c>
      <c r="D18" s="169">
        <v>3046.92</v>
      </c>
      <c r="E18" s="169">
        <v>0</v>
      </c>
      <c r="F18" s="169">
        <v>0</v>
      </c>
      <c r="G18" s="169">
        <v>0</v>
      </c>
      <c r="H18" s="169">
        <v>2589.87</v>
      </c>
      <c r="I18" s="169">
        <v>2672.7368299999998</v>
      </c>
      <c r="J18" s="169">
        <v>668.18421999999998</v>
      </c>
      <c r="L18" s="2">
        <v>504016</v>
      </c>
      <c r="M18" s="2" t="s">
        <v>52</v>
      </c>
      <c r="N18" s="2">
        <v>505837</v>
      </c>
      <c r="O18" t="s">
        <v>63</v>
      </c>
      <c r="P18">
        <v>3375742035</v>
      </c>
      <c r="Q18" s="5">
        <v>46023.725393518522</v>
      </c>
      <c r="R18" s="2" t="s">
        <v>54</v>
      </c>
      <c r="S18" s="2" t="s">
        <v>51</v>
      </c>
      <c r="T18" s="2" t="s">
        <v>55</v>
      </c>
      <c r="U18" s="2" t="s">
        <v>59</v>
      </c>
      <c r="V18" s="2" t="s">
        <v>57</v>
      </c>
      <c r="W18" s="2" t="s">
        <v>58</v>
      </c>
      <c r="X18" s="2" t="s">
        <v>59</v>
      </c>
      <c r="Y18" s="1">
        <v>843.98</v>
      </c>
      <c r="Z18" s="1">
        <v>843.98</v>
      </c>
      <c r="AA18" s="1">
        <v>29.99</v>
      </c>
      <c r="AB18" s="1">
        <v>29.99</v>
      </c>
      <c r="AC18" s="1">
        <v>0</v>
      </c>
      <c r="AD18" s="1">
        <v>111.01263</v>
      </c>
      <c r="AE18" s="1">
        <v>903.96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30</v>
      </c>
      <c r="AN18" s="1">
        <v>4.2</v>
      </c>
      <c r="AO18" s="1">
        <v>14.76965</v>
      </c>
      <c r="AP18" s="1">
        <v>2.0677509999999999</v>
      </c>
      <c r="AQ18" s="1">
        <v>740.33333000000005</v>
      </c>
      <c r="AR18" s="1">
        <v>740.33333000000005</v>
      </c>
      <c r="AS18" s="1">
        <v>185.08332999999999</v>
      </c>
      <c r="AT18" s="1">
        <v>25.911666199999999</v>
      </c>
      <c r="AU18" s="1">
        <v>0</v>
      </c>
      <c r="AV18" s="2" t="s">
        <v>69</v>
      </c>
      <c r="AW18" s="1">
        <v>581.94799999999998</v>
      </c>
      <c r="AX18" s="1">
        <f>Table1[[#This Row],[Original Commissionable GMV]]-Table1[[#This Row],[Commission ]]-Table1[[#This Row],[Commission VAT]]-Table1[[#This Row],[FreeDeliveryFund]]</f>
        <v>529.33833379999999</v>
      </c>
      <c r="AY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M18" s="2"/>
    </row>
    <row r="19" spans="1:65" x14ac:dyDescent="0.25">
      <c r="A19" s="170" t="s">
        <v>54</v>
      </c>
      <c r="B19" s="170" t="s">
        <v>61</v>
      </c>
      <c r="C19" s="171">
        <v>0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v>0</v>
      </c>
      <c r="L19" s="2">
        <v>504016</v>
      </c>
      <c r="M19" s="2" t="s">
        <v>52</v>
      </c>
      <c r="N19" s="2">
        <v>505837</v>
      </c>
      <c r="O19" t="s">
        <v>53</v>
      </c>
      <c r="P19">
        <v>3375788947</v>
      </c>
      <c r="Q19" s="5">
        <v>46023.740057870367</v>
      </c>
      <c r="R19" s="2" t="s">
        <v>62</v>
      </c>
      <c r="S19" s="2" t="s">
        <v>51</v>
      </c>
      <c r="T19" s="2" t="s">
        <v>55</v>
      </c>
      <c r="U19" s="2" t="s">
        <v>56</v>
      </c>
      <c r="V19" s="2" t="s">
        <v>57</v>
      </c>
      <c r="W19" s="2" t="s">
        <v>58</v>
      </c>
      <c r="X19" s="2" t="s">
        <v>59</v>
      </c>
      <c r="Y19" s="1">
        <v>390.98</v>
      </c>
      <c r="Z19" s="1">
        <v>390.98</v>
      </c>
      <c r="AA19" s="1">
        <v>30.99</v>
      </c>
      <c r="AB19" s="1">
        <v>19.55</v>
      </c>
      <c r="AC19" s="1">
        <v>0</v>
      </c>
      <c r="AD19" s="1">
        <v>54.22175</v>
      </c>
      <c r="AE19" s="1">
        <v>441.52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30</v>
      </c>
      <c r="AN19" s="1">
        <v>4.2</v>
      </c>
      <c r="AO19" s="1">
        <v>0</v>
      </c>
      <c r="AP19" s="1">
        <v>0</v>
      </c>
      <c r="AQ19" s="1">
        <v>342.96490999999997</v>
      </c>
      <c r="AR19" s="1">
        <v>342.96490999999997</v>
      </c>
      <c r="AS19" s="1">
        <v>85.741230000000002</v>
      </c>
      <c r="AT19" s="1">
        <v>12.0037722</v>
      </c>
      <c r="AU19" s="1">
        <v>0</v>
      </c>
      <c r="AV19" s="2" t="s">
        <v>69</v>
      </c>
      <c r="AW19" s="1">
        <v>259.03500000000003</v>
      </c>
      <c r="AX19" s="1">
        <f>Table1[[#This Row],[Original Commissionable GMV]]-Table1[[#This Row],[Commission ]]-Table1[[#This Row],[Commission VAT]]-Table1[[#This Row],[FreeDeliveryFund]]</f>
        <v>245.21990779999993</v>
      </c>
      <c r="AY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M19" s="2"/>
    </row>
    <row r="20" spans="1:65" x14ac:dyDescent="0.25">
      <c r="A20" s="167" t="s">
        <v>64</v>
      </c>
      <c r="B20" s="167" t="s">
        <v>51</v>
      </c>
      <c r="C20" s="168">
        <v>0</v>
      </c>
      <c r="D20" s="169">
        <v>0</v>
      </c>
      <c r="E20" s="169">
        <v>0</v>
      </c>
      <c r="F20" s="169">
        <v>0</v>
      </c>
      <c r="G20" s="169">
        <v>0</v>
      </c>
      <c r="H20" s="169">
        <v>0</v>
      </c>
      <c r="I20" s="169">
        <v>0</v>
      </c>
      <c r="J20" s="169">
        <v>0</v>
      </c>
      <c r="L20" s="2">
        <v>504016</v>
      </c>
      <c r="M20" s="2" t="s">
        <v>52</v>
      </c>
      <c r="N20" s="2">
        <v>505839</v>
      </c>
      <c r="O20" t="s">
        <v>53</v>
      </c>
      <c r="P20">
        <v>3375813503</v>
      </c>
      <c r="Q20" s="5">
        <v>46023.747581018521</v>
      </c>
      <c r="R20" s="2" t="s">
        <v>54</v>
      </c>
      <c r="S20" s="2" t="s">
        <v>51</v>
      </c>
      <c r="T20" s="2" t="s">
        <v>55</v>
      </c>
      <c r="U20" s="2" t="s">
        <v>59</v>
      </c>
      <c r="V20" s="2" t="s">
        <v>57</v>
      </c>
      <c r="W20" s="2" t="s">
        <v>58</v>
      </c>
      <c r="X20" s="2" t="s">
        <v>59</v>
      </c>
      <c r="Y20" s="1">
        <v>837.97</v>
      </c>
      <c r="Z20" s="1">
        <v>837.97</v>
      </c>
      <c r="AA20" s="1">
        <v>0</v>
      </c>
      <c r="AB20" s="1">
        <v>29.99</v>
      </c>
      <c r="AC20" s="1">
        <v>0</v>
      </c>
      <c r="AD20" s="1">
        <v>106.59157999999999</v>
      </c>
      <c r="AE20" s="1">
        <v>867.96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14.664474999999999</v>
      </c>
      <c r="AP20" s="1">
        <v>2.0530265000000001</v>
      </c>
      <c r="AQ20" s="1">
        <v>735.06140000000005</v>
      </c>
      <c r="AR20" s="1">
        <v>735.06140000000005</v>
      </c>
      <c r="AS20" s="1">
        <v>183.76535000000001</v>
      </c>
      <c r="AT20" s="1">
        <v>25.727149000000001</v>
      </c>
      <c r="AU20" s="1">
        <v>35.99</v>
      </c>
      <c r="AV20" s="2" t="s">
        <v>60</v>
      </c>
      <c r="AW20" s="1">
        <v>575.77</v>
      </c>
      <c r="AX20" s="1">
        <f>Table1[[#This Row],[Original Commissionable GMV]]-Table1[[#This Row],[Commission ]]-Table1[[#This Row],[Commission VAT]]-Table1[[#This Row],[FreeDeliveryFund]]</f>
        <v>489.57890099999997</v>
      </c>
      <c r="AY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M20" s="2"/>
    </row>
    <row r="21" spans="1:65" x14ac:dyDescent="0.25">
      <c r="A21" s="170" t="s">
        <v>64</v>
      </c>
      <c r="B21" s="170" t="s">
        <v>61</v>
      </c>
      <c r="C21" s="171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L21" s="2">
        <v>504016</v>
      </c>
      <c r="M21" s="2" t="s">
        <v>52</v>
      </c>
      <c r="N21" s="2">
        <v>505839</v>
      </c>
      <c r="O21" t="s">
        <v>63</v>
      </c>
      <c r="P21">
        <v>3375816988</v>
      </c>
      <c r="Q21" s="5">
        <v>46023.748657407406</v>
      </c>
      <c r="R21" s="2" t="s">
        <v>54</v>
      </c>
      <c r="S21" s="2" t="s">
        <v>51</v>
      </c>
      <c r="T21" s="2" t="s">
        <v>55</v>
      </c>
      <c r="U21" s="2" t="s">
        <v>56</v>
      </c>
      <c r="V21" s="2" t="s">
        <v>57</v>
      </c>
      <c r="W21" s="2" t="s">
        <v>58</v>
      </c>
      <c r="X21" s="2" t="s">
        <v>59</v>
      </c>
      <c r="Y21" s="1">
        <v>738.97</v>
      </c>
      <c r="Z21" s="1">
        <v>738.97</v>
      </c>
      <c r="AA21" s="1">
        <v>0</v>
      </c>
      <c r="AB21" s="1">
        <v>29.99</v>
      </c>
      <c r="AC21" s="1">
        <v>0</v>
      </c>
      <c r="AD21" s="1">
        <v>94.433679999999995</v>
      </c>
      <c r="AE21" s="1">
        <v>768.96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12.931975</v>
      </c>
      <c r="AP21" s="1">
        <v>1.8104765</v>
      </c>
      <c r="AQ21" s="1">
        <v>648.21929999999998</v>
      </c>
      <c r="AR21" s="1">
        <v>648.21929999999998</v>
      </c>
      <c r="AS21" s="1">
        <v>162.05483000000001</v>
      </c>
      <c r="AT21" s="1">
        <v>22.687676199999999</v>
      </c>
      <c r="AU21" s="1">
        <v>26.99</v>
      </c>
      <c r="AV21" s="2" t="s">
        <v>60</v>
      </c>
      <c r="AW21" s="1">
        <v>512.495</v>
      </c>
      <c r="AX21" s="1">
        <f>Table1[[#This Row],[Original Commissionable GMV]]-Table1[[#This Row],[Commission ]]-Table1[[#This Row],[Commission VAT]]-Table1[[#This Row],[FreeDeliveryFund]]</f>
        <v>436.48679379999993</v>
      </c>
      <c r="AY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M21" s="2"/>
    </row>
    <row r="22" spans="1:65" x14ac:dyDescent="0.25">
      <c r="A22" s="167" t="s">
        <v>66</v>
      </c>
      <c r="B22" s="167" t="s">
        <v>51</v>
      </c>
      <c r="C22" s="168">
        <v>1</v>
      </c>
      <c r="D22" s="169">
        <v>445.99</v>
      </c>
      <c r="E22" s="169">
        <v>0</v>
      </c>
      <c r="F22" s="169">
        <v>0</v>
      </c>
      <c r="G22" s="169">
        <v>0</v>
      </c>
      <c r="H22" s="169">
        <v>379.09</v>
      </c>
      <c r="I22" s="169">
        <v>391.21929999999998</v>
      </c>
      <c r="J22" s="169">
        <v>97.804829999999995</v>
      </c>
      <c r="L22" s="2">
        <v>504016</v>
      </c>
      <c r="M22" s="2" t="s">
        <v>52</v>
      </c>
      <c r="N22" s="2">
        <v>505839</v>
      </c>
      <c r="O22" t="s">
        <v>53</v>
      </c>
      <c r="P22">
        <v>3375858818</v>
      </c>
      <c r="Q22" s="5">
        <v>46023.761203703703</v>
      </c>
      <c r="R22" s="2" t="s">
        <v>54</v>
      </c>
      <c r="S22" s="2" t="s">
        <v>51</v>
      </c>
      <c r="T22" s="2" t="s">
        <v>55</v>
      </c>
      <c r="U22" s="2" t="s">
        <v>59</v>
      </c>
      <c r="V22" s="2" t="s">
        <v>57</v>
      </c>
      <c r="W22" s="2" t="s">
        <v>58</v>
      </c>
      <c r="X22" s="2" t="s">
        <v>59</v>
      </c>
      <c r="Y22" s="1">
        <v>453.99</v>
      </c>
      <c r="Z22" s="1">
        <v>453.99</v>
      </c>
      <c r="AA22" s="1">
        <v>30.99</v>
      </c>
      <c r="AB22" s="1">
        <v>22.7</v>
      </c>
      <c r="AC22" s="1">
        <v>0</v>
      </c>
      <c r="AD22" s="1">
        <v>62.346670000000003</v>
      </c>
      <c r="AE22" s="1">
        <v>507.68</v>
      </c>
      <c r="AG22" s="1">
        <v>0</v>
      </c>
      <c r="AH22" s="1">
        <v>0</v>
      </c>
      <c r="AI22" s="1">
        <v>0</v>
      </c>
      <c r="AJ22" s="1">
        <v>80</v>
      </c>
      <c r="AK22" s="1">
        <v>0</v>
      </c>
      <c r="AL22" s="1">
        <v>0</v>
      </c>
      <c r="AM22" s="1">
        <v>0</v>
      </c>
      <c r="AN22" s="1">
        <v>0</v>
      </c>
      <c r="AO22" s="1">
        <v>7.9448249999999998</v>
      </c>
      <c r="AP22" s="1">
        <v>1.1122755</v>
      </c>
      <c r="AQ22" s="1">
        <v>398.23683999999997</v>
      </c>
      <c r="AR22" s="1">
        <v>398.23683999999997</v>
      </c>
      <c r="AS22" s="1">
        <v>99.559209999999993</v>
      </c>
      <c r="AT22" s="1">
        <v>13.9382894</v>
      </c>
      <c r="AU22" s="1">
        <v>0</v>
      </c>
      <c r="AV22" s="2" t="s">
        <v>69</v>
      </c>
      <c r="AW22" s="1">
        <v>331.435</v>
      </c>
      <c r="AX22" s="1">
        <f>Table1[[#This Row],[Original Commissionable GMV]]-Table1[[#This Row],[Commission ]]-Table1[[#This Row],[Commission VAT]]-Table1[[#This Row],[FreeDeliveryFund]]</f>
        <v>284.73934059999999</v>
      </c>
      <c r="AY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M22" s="2"/>
    </row>
    <row r="23" spans="1:65" x14ac:dyDescent="0.25">
      <c r="A23" s="170" t="s">
        <v>66</v>
      </c>
      <c r="B23" s="170" t="s">
        <v>61</v>
      </c>
      <c r="C23" s="171">
        <v>0</v>
      </c>
      <c r="D23" s="172">
        <v>0</v>
      </c>
      <c r="E23" s="172">
        <v>0</v>
      </c>
      <c r="F23" s="172">
        <v>0</v>
      </c>
      <c r="G23" s="172">
        <v>0</v>
      </c>
      <c r="H23" s="172">
        <v>0</v>
      </c>
      <c r="I23" s="172">
        <v>0</v>
      </c>
      <c r="J23" s="172">
        <v>0</v>
      </c>
      <c r="L23" s="2">
        <v>504016</v>
      </c>
      <c r="M23" s="2" t="s">
        <v>52</v>
      </c>
      <c r="N23" s="2">
        <v>505837</v>
      </c>
      <c r="O23" t="s">
        <v>63</v>
      </c>
      <c r="P23">
        <v>3375859856</v>
      </c>
      <c r="Q23" s="5">
        <v>46023.761516203704</v>
      </c>
      <c r="R23" s="2" t="s">
        <v>54</v>
      </c>
      <c r="S23" s="2" t="s">
        <v>51</v>
      </c>
      <c r="T23" s="2" t="s">
        <v>55</v>
      </c>
      <c r="U23" s="2" t="s">
        <v>56</v>
      </c>
      <c r="V23" s="2" t="s">
        <v>57</v>
      </c>
      <c r="W23" s="2" t="s">
        <v>58</v>
      </c>
      <c r="X23" s="2" t="s">
        <v>59</v>
      </c>
      <c r="Y23" s="1">
        <v>1073.6400000000001</v>
      </c>
      <c r="Z23" s="1">
        <v>1073.6400000000001</v>
      </c>
      <c r="AA23" s="1">
        <v>0</v>
      </c>
      <c r="AB23" s="1">
        <v>29.99</v>
      </c>
      <c r="AC23" s="1">
        <v>0</v>
      </c>
      <c r="AD23" s="1">
        <v>135.53351000000001</v>
      </c>
      <c r="AE23" s="1">
        <v>1103.6300000000001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18.788699999999999</v>
      </c>
      <c r="AP23" s="1">
        <v>2.6304180000000001</v>
      </c>
      <c r="AQ23" s="1">
        <v>941.78947000000005</v>
      </c>
      <c r="AR23" s="1">
        <v>941.78947000000005</v>
      </c>
      <c r="AS23" s="1">
        <v>235.44737000000001</v>
      </c>
      <c r="AT23" s="1">
        <v>32.962631799999997</v>
      </c>
      <c r="AU23" s="1">
        <v>29.99</v>
      </c>
      <c r="AV23" s="2" t="s">
        <v>60</v>
      </c>
      <c r="AW23" s="1">
        <v>753.82100000000003</v>
      </c>
      <c r="AX23" s="1">
        <f>Table1[[#This Row],[Original Commissionable GMV]]-Table1[[#This Row],[Commission ]]-Table1[[#This Row],[Commission VAT]]-Table1[[#This Row],[FreeDeliveryFund]]</f>
        <v>643.38946820000001</v>
      </c>
      <c r="AY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M23" s="2"/>
    </row>
    <row r="24" spans="1:65" x14ac:dyDescent="0.25">
      <c r="A24" s="165" t="s">
        <v>67</v>
      </c>
      <c r="B24" s="165" t="s">
        <v>68</v>
      </c>
      <c r="C24" s="173">
        <v>7</v>
      </c>
      <c r="D24" s="173">
        <v>3492.91</v>
      </c>
      <c r="E24" s="173">
        <v>0</v>
      </c>
      <c r="F24" s="173">
        <v>0</v>
      </c>
      <c r="G24" s="173">
        <v>0</v>
      </c>
      <c r="H24" s="173">
        <v>2968.96</v>
      </c>
      <c r="I24" s="173">
        <v>3063.95613</v>
      </c>
      <c r="J24" s="173">
        <v>765.98905000000002</v>
      </c>
      <c r="L24" s="2">
        <v>504016</v>
      </c>
      <c r="M24" s="2" t="s">
        <v>52</v>
      </c>
      <c r="N24" s="2">
        <v>505837</v>
      </c>
      <c r="O24" t="s">
        <v>63</v>
      </c>
      <c r="P24">
        <v>3375869142</v>
      </c>
      <c r="Q24" s="5">
        <v>46023.764305555553</v>
      </c>
      <c r="R24" s="2" t="s">
        <v>54</v>
      </c>
      <c r="S24" s="2" t="s">
        <v>51</v>
      </c>
      <c r="T24" s="2" t="s">
        <v>55</v>
      </c>
      <c r="U24" s="2" t="s">
        <v>56</v>
      </c>
      <c r="V24" s="2" t="s">
        <v>57</v>
      </c>
      <c r="W24" s="2" t="s">
        <v>58</v>
      </c>
      <c r="X24" s="2" t="s">
        <v>59</v>
      </c>
      <c r="Y24" s="1">
        <v>939.7</v>
      </c>
      <c r="Z24" s="1">
        <v>939.7</v>
      </c>
      <c r="AA24" s="1">
        <v>0</v>
      </c>
      <c r="AB24" s="1">
        <v>29.99</v>
      </c>
      <c r="AC24" s="1">
        <v>0</v>
      </c>
      <c r="AD24" s="1">
        <v>119.08474</v>
      </c>
      <c r="AE24" s="1">
        <v>969.69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16.444749999999999</v>
      </c>
      <c r="AP24" s="1">
        <v>2.3022649999999998</v>
      </c>
      <c r="AQ24" s="1">
        <v>824.29825000000005</v>
      </c>
      <c r="AR24" s="1">
        <v>824.29825000000005</v>
      </c>
      <c r="AS24" s="1">
        <v>206.07455999999999</v>
      </c>
      <c r="AT24" s="1">
        <v>28.850438400000002</v>
      </c>
      <c r="AU24" s="1">
        <v>29.99</v>
      </c>
      <c r="AV24" s="2" t="s">
        <v>60</v>
      </c>
      <c r="AW24" s="1">
        <v>656.03800000000001</v>
      </c>
      <c r="AX24" s="1">
        <f>Table1[[#This Row],[Original Commissionable GMV]]-Table1[[#This Row],[Commission ]]-Table1[[#This Row],[Commission VAT]]-Table1[[#This Row],[FreeDeliveryFund]]</f>
        <v>559.38325159999999</v>
      </c>
      <c r="AY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M24" s="2"/>
    </row>
    <row r="25" spans="1:65" x14ac:dyDescent="0.25">
      <c r="A25"/>
      <c r="B25"/>
      <c r="C25"/>
      <c r="D25"/>
      <c r="E25"/>
      <c r="F25"/>
      <c r="G25"/>
      <c r="H25"/>
      <c r="I25"/>
      <c r="J25"/>
      <c r="L25" s="2">
        <v>504016</v>
      </c>
      <c r="M25" s="2" t="s">
        <v>52</v>
      </c>
      <c r="N25" s="2">
        <v>505839</v>
      </c>
      <c r="O25" t="s">
        <v>65</v>
      </c>
      <c r="P25">
        <v>3375876058</v>
      </c>
      <c r="Q25" s="5">
        <v>46023.766516203701</v>
      </c>
      <c r="R25" s="2" t="s">
        <v>54</v>
      </c>
      <c r="S25" s="2" t="s">
        <v>51</v>
      </c>
      <c r="T25" s="2" t="s">
        <v>55</v>
      </c>
      <c r="U25" s="2" t="s">
        <v>56</v>
      </c>
      <c r="V25" s="2" t="s">
        <v>57</v>
      </c>
      <c r="W25" s="2" t="s">
        <v>58</v>
      </c>
      <c r="X25" s="2" t="s">
        <v>59</v>
      </c>
      <c r="Y25" s="1">
        <v>352.99</v>
      </c>
      <c r="Z25" s="1">
        <v>352.99</v>
      </c>
      <c r="AA25" s="1">
        <v>0</v>
      </c>
      <c r="AB25" s="1">
        <v>17.649999999999999</v>
      </c>
      <c r="AC25" s="1">
        <v>0</v>
      </c>
      <c r="AD25" s="1">
        <v>45.517189999999999</v>
      </c>
      <c r="AE25" s="1">
        <v>370.64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6.1773249999999997</v>
      </c>
      <c r="AP25" s="1">
        <v>0.86482550000000002</v>
      </c>
      <c r="AQ25" s="1">
        <v>309.64035000000001</v>
      </c>
      <c r="AR25" s="1">
        <v>309.64035000000001</v>
      </c>
      <c r="AS25" s="1">
        <v>77.410089999999997</v>
      </c>
      <c r="AT25" s="1">
        <v>10.8374126</v>
      </c>
      <c r="AU25" s="1">
        <v>28.99</v>
      </c>
      <c r="AV25" s="2" t="s">
        <v>60</v>
      </c>
      <c r="AW25" s="1">
        <v>228.71</v>
      </c>
      <c r="AX25" s="1">
        <f>Table1[[#This Row],[Original Commissionable GMV]]-Table1[[#This Row],[Commission ]]-Table1[[#This Row],[Commission VAT]]-Table1[[#This Row],[FreeDeliveryFund]]</f>
        <v>192.40284740000001</v>
      </c>
      <c r="AY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M25" s="2"/>
    </row>
    <row r="26" spans="1:65" x14ac:dyDescent="0.25">
      <c r="A26" s="166" t="s">
        <v>71</v>
      </c>
      <c r="B26"/>
      <c r="C26"/>
      <c r="D26"/>
      <c r="E26"/>
      <c r="F26"/>
      <c r="G26"/>
      <c r="H26"/>
      <c r="I26"/>
      <c r="J26"/>
      <c r="L26" s="2">
        <v>504016</v>
      </c>
      <c r="M26" s="2" t="s">
        <v>52</v>
      </c>
      <c r="N26" s="2">
        <v>505837</v>
      </c>
      <c r="O26" t="s">
        <v>65</v>
      </c>
      <c r="P26">
        <v>3375907875</v>
      </c>
      <c r="Q26" s="5">
        <v>46023.776226851849</v>
      </c>
      <c r="R26" s="2" t="s">
        <v>54</v>
      </c>
      <c r="S26" s="2" t="s">
        <v>51</v>
      </c>
      <c r="T26" s="2" t="s">
        <v>55</v>
      </c>
      <c r="U26" s="2" t="s">
        <v>59</v>
      </c>
      <c r="V26" s="2" t="s">
        <v>57</v>
      </c>
      <c r="W26" s="2" t="s">
        <v>58</v>
      </c>
      <c r="X26" s="2" t="s">
        <v>59</v>
      </c>
      <c r="Y26" s="1">
        <v>554.99</v>
      </c>
      <c r="Z26" s="1">
        <v>554.99</v>
      </c>
      <c r="AA26" s="1">
        <v>7</v>
      </c>
      <c r="AB26" s="1">
        <v>27.75</v>
      </c>
      <c r="AC26" s="1">
        <v>0</v>
      </c>
      <c r="AD26" s="1">
        <v>72.424210000000002</v>
      </c>
      <c r="AE26" s="1">
        <v>589.74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30</v>
      </c>
      <c r="AN26" s="1">
        <v>4.2</v>
      </c>
      <c r="AO26" s="1">
        <v>9.7123249999999999</v>
      </c>
      <c r="AP26" s="1">
        <v>1.3597254999999999</v>
      </c>
      <c r="AQ26" s="1">
        <v>486.83332999999999</v>
      </c>
      <c r="AR26" s="1">
        <v>486.83332999999999</v>
      </c>
      <c r="AS26" s="1">
        <v>121.70833</v>
      </c>
      <c r="AT26" s="1">
        <v>17.0391662</v>
      </c>
      <c r="AU26" s="1">
        <v>26.99</v>
      </c>
      <c r="AV26" s="2" t="s">
        <v>60</v>
      </c>
      <c r="AW26" s="1">
        <v>343.98</v>
      </c>
      <c r="AX26" s="1">
        <f>Table1[[#This Row],[Original Commissionable GMV]]-Table1[[#This Row],[Commission ]]-Table1[[#This Row],[Commission VAT]]-Table1[[#This Row],[FreeDeliveryFund]]</f>
        <v>321.09583379999998</v>
      </c>
      <c r="AY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M26" s="2"/>
    </row>
    <row r="27" spans="1:65" x14ac:dyDescent="0.25">
      <c r="A27" s="4" t="s">
        <v>22</v>
      </c>
      <c r="B27" s="4" t="s">
        <v>72</v>
      </c>
      <c r="C27" s="4" t="s">
        <v>73</v>
      </c>
      <c r="D27" s="4" t="s">
        <v>74</v>
      </c>
      <c r="E27"/>
      <c r="F27"/>
      <c r="G27"/>
      <c r="H27"/>
      <c r="I27"/>
      <c r="J27"/>
      <c r="L27" s="2">
        <v>504016</v>
      </c>
      <c r="M27" s="2" t="s">
        <v>52</v>
      </c>
      <c r="N27" s="2">
        <v>505837</v>
      </c>
      <c r="O27" t="s">
        <v>53</v>
      </c>
      <c r="P27">
        <v>3375908429</v>
      </c>
      <c r="Q27" s="5">
        <v>46023.776400462964</v>
      </c>
      <c r="R27" s="2" t="s">
        <v>54</v>
      </c>
      <c r="S27" s="2" t="s">
        <v>51</v>
      </c>
      <c r="T27" s="2" t="s">
        <v>55</v>
      </c>
      <c r="U27" s="2" t="s">
        <v>56</v>
      </c>
      <c r="V27" s="2" t="s">
        <v>57</v>
      </c>
      <c r="W27" s="2" t="s">
        <v>58</v>
      </c>
      <c r="X27" s="2" t="s">
        <v>59</v>
      </c>
      <c r="Y27" s="1">
        <v>639.98</v>
      </c>
      <c r="Z27" s="1">
        <v>639.98</v>
      </c>
      <c r="AA27" s="1">
        <v>9</v>
      </c>
      <c r="AB27" s="1">
        <v>29.99</v>
      </c>
      <c r="AC27" s="1">
        <v>0</v>
      </c>
      <c r="AD27" s="1">
        <v>83.382279999999994</v>
      </c>
      <c r="AE27" s="1">
        <v>678.97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11.19965</v>
      </c>
      <c r="AP27" s="1">
        <v>1.5679510000000001</v>
      </c>
      <c r="AQ27" s="1">
        <v>561.38595999999995</v>
      </c>
      <c r="AR27" s="1">
        <v>561.38595999999995</v>
      </c>
      <c r="AS27" s="1">
        <v>140.34648999999999</v>
      </c>
      <c r="AT27" s="1">
        <v>19.6485086</v>
      </c>
      <c r="AU27" s="1">
        <v>34.99</v>
      </c>
      <c r="AV27" s="2" t="s">
        <v>60</v>
      </c>
      <c r="AW27" s="1">
        <v>432.22699999999998</v>
      </c>
      <c r="AX27" s="1">
        <f>Table1[[#This Row],[Original Commissionable GMV]]-Table1[[#This Row],[Commission ]]-Table1[[#This Row],[Commission VAT]]-Table1[[#This Row],[FreeDeliveryFund]]</f>
        <v>366.40096139999991</v>
      </c>
      <c r="AY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M27" s="2"/>
    </row>
    <row r="28" spans="1:65" x14ac:dyDescent="0.25">
      <c r="A28" s="167" t="s">
        <v>125</v>
      </c>
      <c r="B28" s="167" t="s">
        <v>126</v>
      </c>
      <c r="C28" s="168" t="s">
        <v>75</v>
      </c>
      <c r="D28" s="169">
        <v>80.972999999999999</v>
      </c>
      <c r="E28"/>
      <c r="F28"/>
      <c r="G28"/>
      <c r="H28"/>
      <c r="I28"/>
      <c r="J28"/>
      <c r="L28" s="2">
        <v>504016</v>
      </c>
      <c r="M28" s="2" t="s">
        <v>52</v>
      </c>
      <c r="N28" s="2">
        <v>505837</v>
      </c>
      <c r="O28" t="s">
        <v>53</v>
      </c>
      <c r="P28">
        <v>3375923676</v>
      </c>
      <c r="Q28" s="5">
        <v>46023.781319444446</v>
      </c>
      <c r="R28" s="2" t="s">
        <v>54</v>
      </c>
      <c r="S28" s="2" t="s">
        <v>51</v>
      </c>
      <c r="T28" s="2" t="s">
        <v>55</v>
      </c>
      <c r="U28" s="2" t="s">
        <v>59</v>
      </c>
      <c r="V28" s="2" t="s">
        <v>57</v>
      </c>
      <c r="W28" s="2" t="s">
        <v>58</v>
      </c>
      <c r="X28" s="2" t="s">
        <v>59</v>
      </c>
      <c r="Y28" s="1">
        <v>1089.97</v>
      </c>
      <c r="Z28" s="1">
        <v>1089.97</v>
      </c>
      <c r="AA28" s="1">
        <v>0</v>
      </c>
      <c r="AB28" s="1">
        <v>29.99</v>
      </c>
      <c r="AC28" s="1">
        <v>0</v>
      </c>
      <c r="AD28" s="1">
        <v>137.53895</v>
      </c>
      <c r="AE28" s="1">
        <v>1119.96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19.074475</v>
      </c>
      <c r="AP28" s="1">
        <v>2.6704265</v>
      </c>
      <c r="AQ28" s="1">
        <v>956.11404000000005</v>
      </c>
      <c r="AR28" s="1">
        <v>956.11404000000005</v>
      </c>
      <c r="AS28" s="1">
        <v>239.02851000000001</v>
      </c>
      <c r="AT28" s="1">
        <v>33.463991399999998</v>
      </c>
      <c r="AU28" s="1">
        <v>33.99</v>
      </c>
      <c r="AV28" s="2" t="s">
        <v>60</v>
      </c>
      <c r="AW28" s="1">
        <v>761.74300000000005</v>
      </c>
      <c r="AX28" s="1">
        <f>Table1[[#This Row],[Original Commissionable GMV]]-Table1[[#This Row],[Commission ]]-Table1[[#This Row],[Commission VAT]]-Table1[[#This Row],[FreeDeliveryFund]]</f>
        <v>649.63153860000011</v>
      </c>
      <c r="AY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M28" s="2"/>
    </row>
    <row r="29" spans="1:65" x14ac:dyDescent="0.25">
      <c r="A29" s="167" t="s">
        <v>127</v>
      </c>
      <c r="B29" s="167" t="s">
        <v>128</v>
      </c>
      <c r="C29" s="168" t="s">
        <v>129</v>
      </c>
      <c r="D29" s="169">
        <v>77.997</v>
      </c>
      <c r="E29"/>
      <c r="F29"/>
      <c r="G29"/>
      <c r="H29"/>
      <c r="I29"/>
      <c r="J29"/>
      <c r="L29" s="2">
        <v>504016</v>
      </c>
      <c r="M29" s="2" t="s">
        <v>52</v>
      </c>
      <c r="N29" s="2">
        <v>505839</v>
      </c>
      <c r="O29" t="s">
        <v>65</v>
      </c>
      <c r="P29">
        <v>3375923900</v>
      </c>
      <c r="Q29" s="5">
        <v>46023.781388888892</v>
      </c>
      <c r="R29" s="2" t="s">
        <v>62</v>
      </c>
      <c r="S29" s="2" t="s">
        <v>51</v>
      </c>
      <c r="T29" s="2" t="s">
        <v>55</v>
      </c>
      <c r="U29" s="2" t="s">
        <v>56</v>
      </c>
      <c r="V29" s="2" t="s">
        <v>57</v>
      </c>
      <c r="W29" s="2" t="s">
        <v>58</v>
      </c>
      <c r="X29" s="2" t="s">
        <v>59</v>
      </c>
      <c r="Y29" s="1">
        <v>265</v>
      </c>
      <c r="Z29" s="1">
        <v>265</v>
      </c>
      <c r="AA29" s="1">
        <v>0</v>
      </c>
      <c r="AB29" s="1">
        <v>13.25</v>
      </c>
      <c r="AC29" s="1">
        <v>0</v>
      </c>
      <c r="AD29" s="1">
        <v>34.171050000000001</v>
      </c>
      <c r="AE29" s="1">
        <v>278.25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30</v>
      </c>
      <c r="AN29" s="1">
        <v>4.2</v>
      </c>
      <c r="AO29" s="1">
        <v>0</v>
      </c>
      <c r="AP29" s="1">
        <v>0</v>
      </c>
      <c r="AQ29" s="1">
        <v>232.45614</v>
      </c>
      <c r="AR29" s="1">
        <v>232.45614</v>
      </c>
      <c r="AS29" s="1">
        <v>58.114040000000003</v>
      </c>
      <c r="AT29" s="1">
        <v>8.1359656000000005</v>
      </c>
      <c r="AU29" s="1">
        <v>26.99</v>
      </c>
      <c r="AV29" s="2" t="s">
        <v>60</v>
      </c>
      <c r="AW29" s="1">
        <v>137.56</v>
      </c>
      <c r="AX29" s="1">
        <f>Table1[[#This Row],[Original Commissionable GMV]]-Table1[[#This Row],[Commission ]]-Table1[[#This Row],[Commission VAT]]-Table1[[#This Row],[FreeDeliveryFund]]</f>
        <v>139.21613440000002</v>
      </c>
      <c r="AY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M29" s="2"/>
    </row>
    <row r="30" spans="1:65" x14ac:dyDescent="0.25">
      <c r="A30" s="167" t="s">
        <v>130</v>
      </c>
      <c r="B30" s="167" t="s">
        <v>131</v>
      </c>
      <c r="C30" s="168" t="s">
        <v>75</v>
      </c>
      <c r="D30" s="169">
        <v>114.06</v>
      </c>
      <c r="E30"/>
      <c r="F30"/>
      <c r="G30"/>
      <c r="H30"/>
      <c r="I30"/>
      <c r="J30"/>
      <c r="L30" s="2">
        <v>504016</v>
      </c>
      <c r="M30" s="2" t="s">
        <v>52</v>
      </c>
      <c r="N30" s="2">
        <v>505839</v>
      </c>
      <c r="O30" t="s">
        <v>63</v>
      </c>
      <c r="P30">
        <v>3375927317</v>
      </c>
      <c r="Q30" s="5">
        <v>46023.782418981478</v>
      </c>
      <c r="R30" s="2" t="s">
        <v>54</v>
      </c>
      <c r="S30" s="2" t="s">
        <v>51</v>
      </c>
      <c r="T30" s="2" t="s">
        <v>55</v>
      </c>
      <c r="U30" s="2" t="s">
        <v>56</v>
      </c>
      <c r="V30" s="2" t="s">
        <v>57</v>
      </c>
      <c r="W30" s="2" t="s">
        <v>58</v>
      </c>
      <c r="X30" s="2" t="s">
        <v>59</v>
      </c>
      <c r="Y30" s="1">
        <v>633.97</v>
      </c>
      <c r="Z30" s="1">
        <v>633.97</v>
      </c>
      <c r="AA30" s="1">
        <v>28.99</v>
      </c>
      <c r="AB30" s="1">
        <v>29.99</v>
      </c>
      <c r="AC30" s="1">
        <v>0</v>
      </c>
      <c r="AD30" s="1">
        <v>85.099119999999999</v>
      </c>
      <c r="AE30" s="1">
        <v>692.95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11.094474999999999</v>
      </c>
      <c r="AP30" s="1">
        <v>1.5532265000000001</v>
      </c>
      <c r="AQ30" s="1">
        <v>556.11404000000005</v>
      </c>
      <c r="AR30" s="1">
        <v>556.11404000000005</v>
      </c>
      <c r="AS30" s="1">
        <v>139.02851000000001</v>
      </c>
      <c r="AT30" s="1">
        <v>19.463991400000001</v>
      </c>
      <c r="AU30" s="1">
        <v>0</v>
      </c>
      <c r="AV30" s="2" t="s">
        <v>69</v>
      </c>
      <c r="AW30" s="1">
        <v>462.83</v>
      </c>
      <c r="AX30" s="1">
        <f>Table1[[#This Row],[Original Commissionable GMV]]-Table1[[#This Row],[Commission ]]-Table1[[#This Row],[Commission VAT]]-Table1[[#This Row],[FreeDeliveryFund]]</f>
        <v>397.62153860000006</v>
      </c>
      <c r="AY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M30" s="2"/>
    </row>
    <row r="31" spans="1:65" x14ac:dyDescent="0.25">
      <c r="A31" s="167" t="s">
        <v>132</v>
      </c>
      <c r="B31" s="167" t="s">
        <v>133</v>
      </c>
      <c r="C31" s="168" t="s">
        <v>75</v>
      </c>
      <c r="D31" s="169">
        <v>425.38799999999998</v>
      </c>
      <c r="E31"/>
      <c r="F31"/>
      <c r="G31"/>
      <c r="H31"/>
      <c r="I31"/>
      <c r="J31"/>
      <c r="L31" s="2">
        <v>504016</v>
      </c>
      <c r="M31" s="2" t="s">
        <v>52</v>
      </c>
      <c r="N31" s="2">
        <v>505837</v>
      </c>
      <c r="O31" t="s">
        <v>53</v>
      </c>
      <c r="P31">
        <v>3375928053</v>
      </c>
      <c r="Q31" s="5">
        <v>46023.782638888886</v>
      </c>
      <c r="R31" s="2" t="s">
        <v>62</v>
      </c>
      <c r="S31" s="2" t="s">
        <v>51</v>
      </c>
      <c r="T31" s="2" t="s">
        <v>55</v>
      </c>
      <c r="U31" s="2" t="s">
        <v>59</v>
      </c>
      <c r="V31" s="2" t="s">
        <v>57</v>
      </c>
      <c r="W31" s="2" t="s">
        <v>58</v>
      </c>
      <c r="X31" s="2" t="s">
        <v>59</v>
      </c>
      <c r="Y31" s="1">
        <v>434.93</v>
      </c>
      <c r="Z31" s="1">
        <v>434.93</v>
      </c>
      <c r="AA31" s="1">
        <v>0</v>
      </c>
      <c r="AB31" s="1">
        <v>21.75</v>
      </c>
      <c r="AC31" s="1">
        <v>0</v>
      </c>
      <c r="AD31" s="1">
        <v>56.083509999999997</v>
      </c>
      <c r="AE31" s="1">
        <v>456.68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381.51754</v>
      </c>
      <c r="AR31" s="1">
        <v>381.51754</v>
      </c>
      <c r="AS31" s="1">
        <v>95.379390000000001</v>
      </c>
      <c r="AT31" s="1">
        <v>13.3531146</v>
      </c>
      <c r="AU31" s="1">
        <v>32.99</v>
      </c>
      <c r="AV31" s="2" t="s">
        <v>60</v>
      </c>
      <c r="AW31" s="1">
        <v>293.20699999999999</v>
      </c>
      <c r="AX31" s="1">
        <f>Table1[[#This Row],[Original Commissionable GMV]]-Table1[[#This Row],[Commission ]]-Table1[[#This Row],[Commission VAT]]-Table1[[#This Row],[FreeDeliveryFund]]</f>
        <v>239.79503539999996</v>
      </c>
      <c r="AY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M31" s="2"/>
    </row>
    <row r="32" spans="1:65" x14ac:dyDescent="0.25">
      <c r="A32" s="167" t="s">
        <v>134</v>
      </c>
      <c r="B32" s="167" t="s">
        <v>135</v>
      </c>
      <c r="C32" s="168" t="s">
        <v>75</v>
      </c>
      <c r="D32" s="169">
        <v>212.59800000000001</v>
      </c>
      <c r="E32"/>
      <c r="F32"/>
      <c r="G32"/>
      <c r="H32"/>
      <c r="I32"/>
      <c r="J32"/>
      <c r="L32" s="2">
        <v>504016</v>
      </c>
      <c r="M32" s="2" t="s">
        <v>52</v>
      </c>
      <c r="N32" s="2">
        <v>505839</v>
      </c>
      <c r="O32" t="s">
        <v>63</v>
      </c>
      <c r="P32">
        <v>3375959234</v>
      </c>
      <c r="Q32" s="5">
        <v>46023.791921296295</v>
      </c>
      <c r="R32" s="2" t="s">
        <v>62</v>
      </c>
      <c r="S32" s="2" t="s">
        <v>51</v>
      </c>
      <c r="T32" s="2" t="s">
        <v>55</v>
      </c>
      <c r="U32" s="2" t="s">
        <v>56</v>
      </c>
      <c r="V32" s="2" t="s">
        <v>57</v>
      </c>
      <c r="W32" s="2" t="s">
        <v>58</v>
      </c>
      <c r="X32" s="2" t="s">
        <v>59</v>
      </c>
      <c r="Y32" s="1">
        <v>526.98</v>
      </c>
      <c r="Z32" s="1">
        <v>526.98</v>
      </c>
      <c r="AA32" s="1">
        <v>26.99</v>
      </c>
      <c r="AB32" s="1">
        <v>26.35</v>
      </c>
      <c r="AC32" s="1">
        <v>0</v>
      </c>
      <c r="AD32" s="1">
        <v>71.26737</v>
      </c>
      <c r="AE32" s="1">
        <v>580.32000000000005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462.26316000000003</v>
      </c>
      <c r="AR32" s="1">
        <v>462.26316000000003</v>
      </c>
      <c r="AS32" s="1">
        <v>115.56579000000001</v>
      </c>
      <c r="AT32" s="1">
        <v>16.179210600000001</v>
      </c>
      <c r="AU32" s="1">
        <v>0</v>
      </c>
      <c r="AV32" s="2" t="s">
        <v>69</v>
      </c>
      <c r="AW32" s="1">
        <v>395.23500000000001</v>
      </c>
      <c r="AX32" s="1">
        <f>Table1[[#This Row],[Original Commissionable GMV]]-Table1[[#This Row],[Commission ]]-Table1[[#This Row],[Commission VAT]]-Table1[[#This Row],[FreeDeliveryFund]]</f>
        <v>330.51815940000006</v>
      </c>
      <c r="AY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M32" s="2"/>
    </row>
    <row r="33" spans="1:65" x14ac:dyDescent="0.25">
      <c r="A33" s="165" t="s">
        <v>68</v>
      </c>
      <c r="B33" s="165" t="s">
        <v>68</v>
      </c>
      <c r="C33" s="165" t="s">
        <v>76</v>
      </c>
      <c r="D33" s="173">
        <v>911.01599999999996</v>
      </c>
      <c r="E33"/>
      <c r="F33"/>
      <c r="G33"/>
      <c r="H33"/>
      <c r="I33"/>
      <c r="J33"/>
      <c r="L33" s="2">
        <v>504016</v>
      </c>
      <c r="M33" s="2" t="s">
        <v>52</v>
      </c>
      <c r="N33" s="2">
        <v>505837</v>
      </c>
      <c r="O33" t="s">
        <v>53</v>
      </c>
      <c r="P33">
        <v>3375973096</v>
      </c>
      <c r="Q33" s="5">
        <v>46023.796111111114</v>
      </c>
      <c r="R33" s="2" t="s">
        <v>62</v>
      </c>
      <c r="S33" s="2" t="s">
        <v>51</v>
      </c>
      <c r="T33" s="2" t="s">
        <v>55</v>
      </c>
      <c r="U33" s="2" t="s">
        <v>59</v>
      </c>
      <c r="V33" s="2" t="s">
        <v>57</v>
      </c>
      <c r="W33" s="2" t="s">
        <v>58</v>
      </c>
      <c r="X33" s="2" t="s">
        <v>59</v>
      </c>
      <c r="Y33" s="1">
        <v>1058.96</v>
      </c>
      <c r="Z33" s="1">
        <v>1058.96</v>
      </c>
      <c r="AA33" s="1">
        <v>0</v>
      </c>
      <c r="AB33" s="1">
        <v>29.99</v>
      </c>
      <c r="AC33" s="1">
        <v>0</v>
      </c>
      <c r="AD33" s="1">
        <v>133.73070000000001</v>
      </c>
      <c r="AE33" s="1">
        <v>1088.95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928.91228000000001</v>
      </c>
      <c r="AR33" s="1">
        <v>928.91228000000001</v>
      </c>
      <c r="AS33" s="1">
        <v>232.22807</v>
      </c>
      <c r="AT33" s="1">
        <v>32.511929799999997</v>
      </c>
      <c r="AU33" s="1">
        <v>34.99</v>
      </c>
      <c r="AV33" s="2" t="s">
        <v>60</v>
      </c>
      <c r="AW33" s="1">
        <v>759.23</v>
      </c>
      <c r="AX33" s="1">
        <f>Table1[[#This Row],[Original Commissionable GMV]]-Table1[[#This Row],[Commission ]]-Table1[[#This Row],[Commission VAT]]-Table1[[#This Row],[FreeDeliveryFund]]</f>
        <v>629.18228020000004</v>
      </c>
      <c r="AY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M33" s="2"/>
    </row>
    <row r="34" spans="1:65" x14ac:dyDescent="0.25">
      <c r="L34" s="2">
        <v>504016</v>
      </c>
      <c r="M34" s="2" t="s">
        <v>52</v>
      </c>
      <c r="N34" s="2">
        <v>505837</v>
      </c>
      <c r="O34" t="s">
        <v>63</v>
      </c>
      <c r="P34">
        <v>3376036177</v>
      </c>
      <c r="Q34" s="5">
        <v>46023.815023148149</v>
      </c>
      <c r="R34" s="2" t="s">
        <v>54</v>
      </c>
      <c r="S34" s="2" t="s">
        <v>51</v>
      </c>
      <c r="T34" s="2" t="s">
        <v>55</v>
      </c>
      <c r="U34" s="2" t="s">
        <v>56</v>
      </c>
      <c r="V34" s="2" t="s">
        <v>57</v>
      </c>
      <c r="W34" s="2" t="s">
        <v>58</v>
      </c>
      <c r="X34" s="2" t="s">
        <v>59</v>
      </c>
      <c r="Y34" s="1">
        <v>569.98</v>
      </c>
      <c r="Z34" s="1">
        <v>569.98</v>
      </c>
      <c r="AA34" s="1">
        <v>0</v>
      </c>
      <c r="AB34" s="1">
        <v>28.5</v>
      </c>
      <c r="AC34" s="1">
        <v>0</v>
      </c>
      <c r="AD34" s="1">
        <v>73.497540000000001</v>
      </c>
      <c r="AE34" s="1">
        <v>598.48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9.9746500000000005</v>
      </c>
      <c r="AP34" s="1">
        <v>1.3964510000000001</v>
      </c>
      <c r="AQ34" s="1">
        <v>499.98246</v>
      </c>
      <c r="AR34" s="1">
        <v>499.98246</v>
      </c>
      <c r="AS34" s="1">
        <v>124.99562</v>
      </c>
      <c r="AT34" s="1">
        <v>17.4993868</v>
      </c>
      <c r="AU34" s="1">
        <v>29.99</v>
      </c>
      <c r="AV34" s="2" t="s">
        <v>60</v>
      </c>
      <c r="AW34" s="1">
        <v>386.12400000000002</v>
      </c>
      <c r="AX34" s="1">
        <f>Table1[[#This Row],[Original Commissionable GMV]]-Table1[[#This Row],[Commission ]]-Table1[[#This Row],[Commission VAT]]-Table1[[#This Row],[FreeDeliveryFund]]</f>
        <v>327.4974532</v>
      </c>
      <c r="AY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M34" s="2"/>
    </row>
    <row r="35" spans="1:65" x14ac:dyDescent="0.25">
      <c r="L35" s="2">
        <v>504016</v>
      </c>
      <c r="M35" s="2" t="s">
        <v>52</v>
      </c>
      <c r="N35" s="2">
        <v>505837</v>
      </c>
      <c r="O35" t="s">
        <v>53</v>
      </c>
      <c r="P35">
        <v>3376054134</v>
      </c>
      <c r="Q35" s="5">
        <v>46023.820497685185</v>
      </c>
      <c r="R35" s="2" t="s">
        <v>62</v>
      </c>
      <c r="S35" s="2" t="s">
        <v>51</v>
      </c>
      <c r="T35" s="2" t="s">
        <v>55</v>
      </c>
      <c r="U35" s="2" t="s">
        <v>56</v>
      </c>
      <c r="V35" s="2" t="s">
        <v>57</v>
      </c>
      <c r="W35" s="2" t="s">
        <v>58</v>
      </c>
      <c r="X35" s="2" t="s">
        <v>59</v>
      </c>
      <c r="Y35" s="1">
        <v>330.82</v>
      </c>
      <c r="Z35" s="1">
        <v>330.82</v>
      </c>
      <c r="AA35" s="1">
        <v>30.99</v>
      </c>
      <c r="AB35" s="1">
        <v>16.54</v>
      </c>
      <c r="AC35" s="1">
        <v>0</v>
      </c>
      <c r="AD35" s="1">
        <v>46.464039999999997</v>
      </c>
      <c r="AE35" s="1">
        <v>378.35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290.19297999999998</v>
      </c>
      <c r="AR35" s="1">
        <v>290.19297999999998</v>
      </c>
      <c r="AS35" s="1">
        <v>72.548249999999996</v>
      </c>
      <c r="AT35" s="1">
        <v>10.156755</v>
      </c>
      <c r="AU35" s="1">
        <v>0</v>
      </c>
      <c r="AV35" s="2" t="s">
        <v>69</v>
      </c>
      <c r="AW35" s="1">
        <v>248.11500000000001</v>
      </c>
      <c r="AX35" s="1">
        <f>Table1[[#This Row],[Original Commissionable GMV]]-Table1[[#This Row],[Commission ]]-Table1[[#This Row],[Commission VAT]]-Table1[[#This Row],[FreeDeliveryFund]]</f>
        <v>207.48797499999998</v>
      </c>
      <c r="AY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M35" s="2"/>
    </row>
    <row r="36" spans="1:65" x14ac:dyDescent="0.25">
      <c r="L36" s="2">
        <v>504016</v>
      </c>
      <c r="M36" s="2" t="s">
        <v>52</v>
      </c>
      <c r="N36" s="2">
        <v>505837</v>
      </c>
      <c r="O36" t="s">
        <v>63</v>
      </c>
      <c r="P36">
        <v>3376067996</v>
      </c>
      <c r="Q36" s="5">
        <v>46023.824733796297</v>
      </c>
      <c r="R36" s="2" t="s">
        <v>54</v>
      </c>
      <c r="S36" s="2" t="s">
        <v>51</v>
      </c>
      <c r="T36" s="2" t="s">
        <v>55</v>
      </c>
      <c r="U36" s="2" t="s">
        <v>59</v>
      </c>
      <c r="V36" s="2" t="s">
        <v>57</v>
      </c>
      <c r="W36" s="2" t="s">
        <v>58</v>
      </c>
      <c r="X36" s="2" t="s">
        <v>59</v>
      </c>
      <c r="Y36" s="1">
        <v>725.66</v>
      </c>
      <c r="Z36" s="1">
        <v>725.66</v>
      </c>
      <c r="AA36" s="1">
        <v>7</v>
      </c>
      <c r="AB36" s="1">
        <v>29.99</v>
      </c>
      <c r="AC36" s="1">
        <v>0</v>
      </c>
      <c r="AD36" s="1">
        <v>93.658770000000004</v>
      </c>
      <c r="AE36" s="1">
        <v>762.65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12.69905</v>
      </c>
      <c r="AP36" s="1">
        <v>1.7778670000000001</v>
      </c>
      <c r="AQ36" s="1">
        <v>636.54386</v>
      </c>
      <c r="AR36" s="1">
        <v>636.54386</v>
      </c>
      <c r="AS36" s="1">
        <v>159.13596999999999</v>
      </c>
      <c r="AT36" s="1">
        <v>22.279035799999999</v>
      </c>
      <c r="AU36" s="1">
        <v>26.99</v>
      </c>
      <c r="AV36" s="2" t="s">
        <v>60</v>
      </c>
      <c r="AW36" s="1">
        <v>502.77800000000002</v>
      </c>
      <c r="AX36" s="1">
        <f>Table1[[#This Row],[Original Commissionable GMV]]-Table1[[#This Row],[Commission ]]-Table1[[#This Row],[Commission VAT]]-Table1[[#This Row],[FreeDeliveryFund]]</f>
        <v>428.13885420000003</v>
      </c>
      <c r="AY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M36" s="2"/>
    </row>
    <row r="37" spans="1:65" x14ac:dyDescent="0.25">
      <c r="L37" s="2">
        <v>504016</v>
      </c>
      <c r="M37" s="2" t="s">
        <v>52</v>
      </c>
      <c r="N37" s="2">
        <v>505837</v>
      </c>
      <c r="O37" t="s">
        <v>53</v>
      </c>
      <c r="P37">
        <v>3376127446</v>
      </c>
      <c r="Q37" s="5">
        <v>46023.843287037038</v>
      </c>
      <c r="R37" s="2" t="s">
        <v>62</v>
      </c>
      <c r="S37" s="2" t="s">
        <v>51</v>
      </c>
      <c r="T37" s="2" t="s">
        <v>55</v>
      </c>
      <c r="U37" s="2" t="s">
        <v>56</v>
      </c>
      <c r="V37" s="2" t="s">
        <v>57</v>
      </c>
      <c r="W37" s="2" t="s">
        <v>58</v>
      </c>
      <c r="X37" s="2" t="s">
        <v>59</v>
      </c>
      <c r="Y37" s="1">
        <v>429.99</v>
      </c>
      <c r="Z37" s="1">
        <v>429.99</v>
      </c>
      <c r="AA37" s="1">
        <v>35.99</v>
      </c>
      <c r="AB37" s="1">
        <v>21.5</v>
      </c>
      <c r="AC37" s="1">
        <v>0</v>
      </c>
      <c r="AD37" s="1">
        <v>59.865960000000001</v>
      </c>
      <c r="AE37" s="1">
        <v>487.48</v>
      </c>
      <c r="AG37" s="1">
        <v>0</v>
      </c>
      <c r="AH37" s="1">
        <v>0</v>
      </c>
      <c r="AI37" s="1">
        <v>132.24</v>
      </c>
      <c r="AJ37" s="1">
        <v>0</v>
      </c>
      <c r="AK37" s="1">
        <v>132.24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377.18421000000001</v>
      </c>
      <c r="AR37" s="1">
        <v>377.18421000000001</v>
      </c>
      <c r="AS37" s="1">
        <v>94.296049999999994</v>
      </c>
      <c r="AT37" s="1">
        <v>13.201447</v>
      </c>
      <c r="AU37" s="1">
        <v>0</v>
      </c>
      <c r="AV37" s="2" t="s">
        <v>69</v>
      </c>
      <c r="AW37" s="1">
        <v>322.49299999999999</v>
      </c>
      <c r="AX37" s="1">
        <f>Table1[[#This Row],[Original Commissionable GMV]]-Table1[[#This Row],[Commission ]]-Table1[[#This Row],[Commission VAT]]-Table1[[#This Row],[FreeDeliveryFund]]</f>
        <v>269.68671300000005</v>
      </c>
      <c r="AY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M37" s="2"/>
    </row>
    <row r="38" spans="1:65" x14ac:dyDescent="0.25">
      <c r="L38" s="2">
        <v>504016</v>
      </c>
      <c r="M38" s="2" t="s">
        <v>52</v>
      </c>
      <c r="N38" s="2">
        <v>505839</v>
      </c>
      <c r="O38" t="s">
        <v>53</v>
      </c>
      <c r="P38">
        <v>3376162211</v>
      </c>
      <c r="Q38" s="5">
        <v>46023.854560185187</v>
      </c>
      <c r="R38" s="2" t="s">
        <v>54</v>
      </c>
      <c r="S38" s="2" t="s">
        <v>51</v>
      </c>
      <c r="T38" s="2" t="s">
        <v>55</v>
      </c>
      <c r="U38" s="2" t="s">
        <v>56</v>
      </c>
      <c r="V38" s="2" t="s">
        <v>57</v>
      </c>
      <c r="W38" s="2" t="s">
        <v>58</v>
      </c>
      <c r="X38" s="2" t="s">
        <v>59</v>
      </c>
      <c r="Y38" s="1">
        <v>266.99</v>
      </c>
      <c r="Z38" s="1">
        <v>266.99</v>
      </c>
      <c r="AA38" s="1">
        <v>33.99</v>
      </c>
      <c r="AB38" s="1">
        <v>13.35</v>
      </c>
      <c r="AC38" s="1">
        <v>5</v>
      </c>
      <c r="AD38" s="1">
        <v>14.65456</v>
      </c>
      <c r="AE38" s="1">
        <v>119.33</v>
      </c>
      <c r="AG38" s="1">
        <v>0</v>
      </c>
      <c r="AH38" s="1">
        <v>200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4.6723249999999998</v>
      </c>
      <c r="AP38" s="1">
        <v>0.65412550000000003</v>
      </c>
      <c r="AQ38" s="1">
        <v>234.20175</v>
      </c>
      <c r="AR38" s="1">
        <v>234.20175</v>
      </c>
      <c r="AS38" s="1">
        <v>58.550440000000002</v>
      </c>
      <c r="AT38" s="1">
        <v>8.1970615999999996</v>
      </c>
      <c r="AU38" s="1">
        <v>0</v>
      </c>
      <c r="AV38" s="2" t="s">
        <v>69</v>
      </c>
      <c r="AW38" s="1">
        <v>194.916</v>
      </c>
      <c r="AX38" s="1">
        <f>Table1[[#This Row],[Original Commissionable GMV]]-Table1[[#This Row],[Commission ]]-Table1[[#This Row],[Commission VAT]]-Table1[[#This Row],[FreeDeliveryFund]]</f>
        <v>167.45424839999998</v>
      </c>
      <c r="AY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M38" s="2"/>
    </row>
    <row r="39" spans="1:65" x14ac:dyDescent="0.25">
      <c r="L39" s="2">
        <v>504016</v>
      </c>
      <c r="M39" s="2" t="s">
        <v>52</v>
      </c>
      <c r="N39" s="2">
        <v>505839</v>
      </c>
      <c r="O39" t="s">
        <v>63</v>
      </c>
      <c r="P39">
        <v>3376163008</v>
      </c>
      <c r="Q39" s="5">
        <v>46023.854826388888</v>
      </c>
      <c r="R39" s="2" t="s">
        <v>54</v>
      </c>
      <c r="S39" s="2" t="s">
        <v>51</v>
      </c>
      <c r="T39" s="2" t="s">
        <v>55</v>
      </c>
      <c r="U39" s="2" t="s">
        <v>56</v>
      </c>
      <c r="V39" s="2" t="s">
        <v>57</v>
      </c>
      <c r="W39" s="2" t="s">
        <v>58</v>
      </c>
      <c r="X39" s="2" t="s">
        <v>59</v>
      </c>
      <c r="Y39" s="1">
        <v>341.58</v>
      </c>
      <c r="Z39" s="1">
        <v>341.58</v>
      </c>
      <c r="AA39" s="1">
        <v>0</v>
      </c>
      <c r="AB39" s="1">
        <v>17.079999999999998</v>
      </c>
      <c r="AC39" s="1">
        <v>0</v>
      </c>
      <c r="AD39" s="1">
        <v>44.045960000000001</v>
      </c>
      <c r="AE39" s="1">
        <v>358.66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5.9776499999999997</v>
      </c>
      <c r="AP39" s="1">
        <v>0.83687100000000003</v>
      </c>
      <c r="AQ39" s="1">
        <v>299.63157999999999</v>
      </c>
      <c r="AR39" s="1">
        <v>299.63157999999999</v>
      </c>
      <c r="AS39" s="1">
        <v>74.907899999999998</v>
      </c>
      <c r="AT39" s="1">
        <v>10.487106000000001</v>
      </c>
      <c r="AU39" s="1">
        <v>30.99</v>
      </c>
      <c r="AV39" s="2" t="s">
        <v>60</v>
      </c>
      <c r="AW39" s="1">
        <v>218.38</v>
      </c>
      <c r="AX39" s="1">
        <f>Table1[[#This Row],[Original Commissionable GMV]]-Table1[[#This Row],[Commission ]]-Table1[[#This Row],[Commission VAT]]-Table1[[#This Row],[FreeDeliveryFund]]</f>
        <v>183.24657399999998</v>
      </c>
      <c r="AY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M39" s="2"/>
    </row>
    <row r="40" spans="1:65" x14ac:dyDescent="0.25">
      <c r="L40" s="2">
        <v>504016</v>
      </c>
      <c r="M40" s="2" t="s">
        <v>52</v>
      </c>
      <c r="N40" s="2">
        <v>505839</v>
      </c>
      <c r="O40" t="s">
        <v>53</v>
      </c>
      <c r="P40">
        <v>3376219381</v>
      </c>
      <c r="Q40" s="5">
        <v>46023.87363425926</v>
      </c>
      <c r="R40" s="2" t="s">
        <v>54</v>
      </c>
      <c r="S40" s="2" t="s">
        <v>51</v>
      </c>
      <c r="T40" s="2" t="s">
        <v>55</v>
      </c>
      <c r="U40" s="2" t="s">
        <v>59</v>
      </c>
      <c r="V40" s="2" t="s">
        <v>57</v>
      </c>
      <c r="W40" s="2" t="s">
        <v>58</v>
      </c>
      <c r="X40" s="2" t="s">
        <v>59</v>
      </c>
      <c r="Y40" s="1">
        <v>584.98</v>
      </c>
      <c r="Z40" s="1">
        <v>584.98</v>
      </c>
      <c r="AA40" s="1">
        <v>32.99</v>
      </c>
      <c r="AB40" s="1">
        <v>29.25</v>
      </c>
      <c r="AC40" s="1">
        <v>0</v>
      </c>
      <c r="AD40" s="1">
        <v>79.483159999999998</v>
      </c>
      <c r="AE40" s="1">
        <v>647.22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30</v>
      </c>
      <c r="AN40" s="1">
        <v>4.2</v>
      </c>
      <c r="AO40" s="1">
        <v>10.23715</v>
      </c>
      <c r="AP40" s="1">
        <v>1.4332009999999999</v>
      </c>
      <c r="AQ40" s="1">
        <v>513.14035000000001</v>
      </c>
      <c r="AR40" s="1">
        <v>513.14035000000001</v>
      </c>
      <c r="AS40" s="1">
        <v>128.28509</v>
      </c>
      <c r="AT40" s="1">
        <v>17.959912599999999</v>
      </c>
      <c r="AU40" s="1">
        <v>0</v>
      </c>
      <c r="AV40" s="2" t="s">
        <v>69</v>
      </c>
      <c r="AW40" s="1">
        <v>392.86500000000001</v>
      </c>
      <c r="AX40" s="1">
        <f>Table1[[#This Row],[Original Commissionable GMV]]-Table1[[#This Row],[Commission ]]-Table1[[#This Row],[Commission VAT]]-Table1[[#This Row],[FreeDeliveryFund]]</f>
        <v>366.89534740000005</v>
      </c>
      <c r="AY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M40" s="2"/>
    </row>
    <row r="41" spans="1:65" x14ac:dyDescent="0.25">
      <c r="L41" s="2">
        <v>504016</v>
      </c>
      <c r="M41" s="2" t="s">
        <v>52</v>
      </c>
      <c r="N41" s="2">
        <v>505839</v>
      </c>
      <c r="O41" t="s">
        <v>63</v>
      </c>
      <c r="P41">
        <v>3376305693</v>
      </c>
      <c r="Q41" s="5">
        <v>46023.90425925926</v>
      </c>
      <c r="R41" s="2" t="s">
        <v>62</v>
      </c>
      <c r="S41" s="2" t="s">
        <v>51</v>
      </c>
      <c r="T41" s="2" t="s">
        <v>55</v>
      </c>
      <c r="U41" s="2" t="s">
        <v>56</v>
      </c>
      <c r="V41" s="2" t="s">
        <v>57</v>
      </c>
      <c r="W41" s="2" t="s">
        <v>58</v>
      </c>
      <c r="X41" s="2" t="s">
        <v>59</v>
      </c>
      <c r="Y41" s="1">
        <v>266.99</v>
      </c>
      <c r="Z41" s="1">
        <v>266.99</v>
      </c>
      <c r="AA41" s="1">
        <v>26.99</v>
      </c>
      <c r="AB41" s="1">
        <v>13.35</v>
      </c>
      <c r="AC41" s="1">
        <v>0</v>
      </c>
      <c r="AD41" s="1">
        <v>37.742280000000001</v>
      </c>
      <c r="AE41" s="1">
        <v>307.33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234.20175</v>
      </c>
      <c r="AR41" s="1">
        <v>234.20175</v>
      </c>
      <c r="AS41" s="1">
        <v>58.550440000000002</v>
      </c>
      <c r="AT41" s="1">
        <v>8.1970615999999996</v>
      </c>
      <c r="AU41" s="1">
        <v>0</v>
      </c>
      <c r="AV41" s="2" t="s">
        <v>69</v>
      </c>
      <c r="AW41" s="1">
        <v>200.24199999999999</v>
      </c>
      <c r="AX41" s="1">
        <f>Table1[[#This Row],[Original Commissionable GMV]]-Table1[[#This Row],[Commission ]]-Table1[[#This Row],[Commission VAT]]-Table1[[#This Row],[FreeDeliveryFund]]</f>
        <v>167.45424839999998</v>
      </c>
      <c r="AY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M41" s="2"/>
    </row>
    <row r="42" spans="1:65" x14ac:dyDescent="0.25">
      <c r="L42" s="2">
        <v>504016</v>
      </c>
      <c r="M42" s="2" t="s">
        <v>52</v>
      </c>
      <c r="N42" s="2">
        <v>505839</v>
      </c>
      <c r="O42" t="s">
        <v>53</v>
      </c>
      <c r="P42">
        <v>3376334228</v>
      </c>
      <c r="Q42" s="5">
        <v>46023.915312500001</v>
      </c>
      <c r="R42" s="2" t="s">
        <v>54</v>
      </c>
      <c r="S42" s="2" t="s">
        <v>51</v>
      </c>
      <c r="T42" s="2" t="s">
        <v>55</v>
      </c>
      <c r="U42" s="2" t="s">
        <v>56</v>
      </c>
      <c r="V42" s="2" t="s">
        <v>57</v>
      </c>
      <c r="W42" s="2" t="s">
        <v>58</v>
      </c>
      <c r="X42" s="2" t="s">
        <v>59</v>
      </c>
      <c r="Y42" s="1">
        <v>704.14</v>
      </c>
      <c r="Z42" s="1">
        <v>704.14</v>
      </c>
      <c r="AA42" s="1">
        <v>42.99</v>
      </c>
      <c r="AB42" s="1">
        <v>29.99</v>
      </c>
      <c r="AC42" s="1">
        <v>0</v>
      </c>
      <c r="AD42" s="1">
        <v>95.435789999999997</v>
      </c>
      <c r="AE42" s="1">
        <v>777.12</v>
      </c>
      <c r="AG42" s="1">
        <v>0</v>
      </c>
      <c r="AH42" s="1">
        <v>0</v>
      </c>
      <c r="AI42" s="1">
        <v>0</v>
      </c>
      <c r="AJ42" s="1">
        <v>53.25</v>
      </c>
      <c r="AK42" s="1">
        <v>0</v>
      </c>
      <c r="AL42" s="1">
        <v>0</v>
      </c>
      <c r="AM42" s="1">
        <v>0</v>
      </c>
      <c r="AN42" s="1">
        <v>0</v>
      </c>
      <c r="AO42" s="1">
        <v>12.32245</v>
      </c>
      <c r="AP42" s="1">
        <v>1.7251430000000001</v>
      </c>
      <c r="AQ42" s="1">
        <v>617.66666999999995</v>
      </c>
      <c r="AR42" s="1">
        <v>617.66666999999995</v>
      </c>
      <c r="AS42" s="1">
        <v>154.41667000000001</v>
      </c>
      <c r="AT42" s="1">
        <v>21.618333799999998</v>
      </c>
      <c r="AU42" s="1">
        <v>0</v>
      </c>
      <c r="AV42" s="2" t="s">
        <v>69</v>
      </c>
      <c r="AW42" s="1">
        <v>514.05700000000002</v>
      </c>
      <c r="AX42" s="1">
        <f>Table1[[#This Row],[Original Commissionable GMV]]-Table1[[#This Row],[Commission ]]-Table1[[#This Row],[Commission VAT]]-Table1[[#This Row],[FreeDeliveryFund]]</f>
        <v>441.63166619999993</v>
      </c>
      <c r="AY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M42" s="2"/>
    </row>
    <row r="43" spans="1:65" x14ac:dyDescent="0.25">
      <c r="L43" s="2">
        <v>504016</v>
      </c>
      <c r="M43" s="2" t="s">
        <v>52</v>
      </c>
      <c r="N43" s="2">
        <v>505835</v>
      </c>
      <c r="O43" t="s">
        <v>53</v>
      </c>
      <c r="P43">
        <v>3376359586</v>
      </c>
      <c r="Q43" s="5">
        <v>46023.925613425927</v>
      </c>
      <c r="R43" s="2" t="s">
        <v>54</v>
      </c>
      <c r="S43" s="2" t="s">
        <v>51</v>
      </c>
      <c r="T43" s="2" t="s">
        <v>55</v>
      </c>
      <c r="U43" s="2" t="s">
        <v>59</v>
      </c>
      <c r="V43" s="2" t="s">
        <v>57</v>
      </c>
      <c r="W43" s="2" t="s">
        <v>58</v>
      </c>
      <c r="X43" s="2" t="s">
        <v>59</v>
      </c>
      <c r="Y43" s="1">
        <v>445.99</v>
      </c>
      <c r="Z43" s="1">
        <v>445.99</v>
      </c>
      <c r="AA43" s="1">
        <v>0</v>
      </c>
      <c r="AB43" s="1">
        <v>22.3</v>
      </c>
      <c r="AC43" s="1">
        <v>0</v>
      </c>
      <c r="AD43" s="1">
        <v>57.509300000000003</v>
      </c>
      <c r="AE43" s="1">
        <v>468.29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7.8048250000000001</v>
      </c>
      <c r="AP43" s="1">
        <v>1.0926754999999999</v>
      </c>
      <c r="AQ43" s="1">
        <v>391.21929999999998</v>
      </c>
      <c r="AR43" s="1">
        <v>391.21929999999998</v>
      </c>
      <c r="AS43" s="1">
        <v>97.804829999999995</v>
      </c>
      <c r="AT43" s="1">
        <v>13.692676199999999</v>
      </c>
      <c r="AU43" s="1">
        <v>31.99</v>
      </c>
      <c r="AV43" s="2" t="s">
        <v>60</v>
      </c>
      <c r="AW43" s="1">
        <v>293.60500000000002</v>
      </c>
      <c r="AX43" s="1">
        <f>Table1[[#This Row],[Original Commissionable GMV]]-Table1[[#This Row],[Commission ]]-Table1[[#This Row],[Commission VAT]]-Table1[[#This Row],[FreeDeliveryFund]]</f>
        <v>247.73179379999999</v>
      </c>
      <c r="AY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M43" s="2"/>
    </row>
    <row r="44" spans="1:65" x14ac:dyDescent="0.25">
      <c r="L44" s="2">
        <v>504016</v>
      </c>
      <c r="M44" s="2" t="s">
        <v>52</v>
      </c>
      <c r="N44" s="2">
        <v>505839</v>
      </c>
      <c r="O44" t="s">
        <v>53</v>
      </c>
      <c r="P44">
        <v>3376405838</v>
      </c>
      <c r="Q44" s="5">
        <v>46023.944837962961</v>
      </c>
      <c r="R44" s="2" t="s">
        <v>54</v>
      </c>
      <c r="S44" s="2" t="s">
        <v>51</v>
      </c>
      <c r="T44" s="2" t="s">
        <v>55</v>
      </c>
      <c r="U44" s="2" t="s">
        <v>56</v>
      </c>
      <c r="V44" s="2" t="s">
        <v>57</v>
      </c>
      <c r="W44" s="2" t="s">
        <v>58</v>
      </c>
      <c r="X44" s="2" t="s">
        <v>59</v>
      </c>
      <c r="Y44" s="1">
        <v>1274.5899999999999</v>
      </c>
      <c r="Z44" s="1">
        <v>1274.5899999999999</v>
      </c>
      <c r="AA44" s="1">
        <v>31.99</v>
      </c>
      <c r="AB44" s="1">
        <v>29.99</v>
      </c>
      <c r="AC44" s="1">
        <v>0</v>
      </c>
      <c r="AD44" s="1">
        <v>164.14017999999999</v>
      </c>
      <c r="AE44" s="1">
        <v>1336.57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22.305323250000001</v>
      </c>
      <c r="AP44" s="1">
        <v>3.1227452549999999</v>
      </c>
      <c r="AQ44" s="1">
        <v>1118.0614</v>
      </c>
      <c r="AR44" s="1">
        <v>1118.0614</v>
      </c>
      <c r="AS44" s="1">
        <v>279.51535000000001</v>
      </c>
      <c r="AT44" s="1">
        <v>39.132148999999998</v>
      </c>
      <c r="AU44" s="1">
        <v>0</v>
      </c>
      <c r="AV44" s="2" t="s">
        <v>69</v>
      </c>
      <c r="AW44" s="1">
        <v>930.51400000000001</v>
      </c>
      <c r="AX44" s="1">
        <f>Table1[[#This Row],[Original Commissionable GMV]]-Table1[[#This Row],[Commission ]]-Table1[[#This Row],[Commission VAT]]-Table1[[#This Row],[FreeDeliveryFund]]</f>
        <v>799.41390100000001</v>
      </c>
      <c r="AY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M44" s="2"/>
    </row>
    <row r="45" spans="1:65" x14ac:dyDescent="0.25">
      <c r="L45" s="2">
        <v>504016</v>
      </c>
      <c r="M45" s="2" t="s">
        <v>52</v>
      </c>
      <c r="N45" s="2">
        <v>505837</v>
      </c>
      <c r="O45" t="s">
        <v>53</v>
      </c>
      <c r="P45">
        <v>3377170068</v>
      </c>
      <c r="Q45" s="5">
        <v>46024.574699074074</v>
      </c>
      <c r="R45" s="2" t="s">
        <v>62</v>
      </c>
      <c r="S45" s="2" t="s">
        <v>51</v>
      </c>
      <c r="T45" s="2" t="s">
        <v>55</v>
      </c>
      <c r="U45" s="2" t="s">
        <v>59</v>
      </c>
      <c r="V45" s="2" t="s">
        <v>57</v>
      </c>
      <c r="W45" s="2" t="s">
        <v>58</v>
      </c>
      <c r="X45" s="2" t="s">
        <v>59</v>
      </c>
      <c r="Y45" s="1">
        <v>730.99</v>
      </c>
      <c r="Z45" s="1">
        <v>730.99</v>
      </c>
      <c r="AA45" s="1">
        <v>0</v>
      </c>
      <c r="AB45" s="1">
        <v>29.99</v>
      </c>
      <c r="AC45" s="1">
        <v>0</v>
      </c>
      <c r="AD45" s="1">
        <v>93.453680000000006</v>
      </c>
      <c r="AE45" s="1">
        <v>760.98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641.21929999999998</v>
      </c>
      <c r="AR45" s="1">
        <v>641.21929999999998</v>
      </c>
      <c r="AS45" s="1">
        <v>160.30483000000001</v>
      </c>
      <c r="AT45" s="1">
        <v>22.442676200000001</v>
      </c>
      <c r="AU45" s="1">
        <v>34.99</v>
      </c>
      <c r="AV45" s="2" t="s">
        <v>60</v>
      </c>
      <c r="AW45" s="1">
        <v>513.25199999999995</v>
      </c>
      <c r="AX45" s="1">
        <f>Table1[[#This Row],[Original Commissionable GMV]]-Table1[[#This Row],[Commission ]]-Table1[[#This Row],[Commission VAT]]-Table1[[#This Row],[FreeDeliveryFund]]</f>
        <v>423.48179379999993</v>
      </c>
      <c r="AY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M45" s="2"/>
    </row>
    <row r="46" spans="1:65" x14ac:dyDescent="0.25">
      <c r="L46" s="2">
        <v>504016</v>
      </c>
      <c r="M46" s="2" t="s">
        <v>52</v>
      </c>
      <c r="N46" s="2">
        <v>505839</v>
      </c>
      <c r="O46" t="s">
        <v>53</v>
      </c>
      <c r="P46">
        <v>3377280015</v>
      </c>
      <c r="Q46" s="5">
        <v>46024.617592592593</v>
      </c>
      <c r="R46" s="2" t="s">
        <v>54</v>
      </c>
      <c r="S46" s="2" t="s">
        <v>51</v>
      </c>
      <c r="T46" s="2" t="s">
        <v>55</v>
      </c>
      <c r="U46" s="2" t="s">
        <v>59</v>
      </c>
      <c r="V46" s="2" t="s">
        <v>57</v>
      </c>
      <c r="W46" s="2" t="s">
        <v>58</v>
      </c>
      <c r="X46" s="2" t="s">
        <v>59</v>
      </c>
      <c r="Y46" s="1">
        <v>1361.97</v>
      </c>
      <c r="Z46" s="1">
        <v>1361.97</v>
      </c>
      <c r="AA46" s="1">
        <v>30.99</v>
      </c>
      <c r="AB46" s="1">
        <v>29.99</v>
      </c>
      <c r="AC46" s="1">
        <v>0</v>
      </c>
      <c r="AD46" s="1">
        <v>174.74825000000001</v>
      </c>
      <c r="AE46" s="1">
        <v>1422.95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23.834475000000001</v>
      </c>
      <c r="AP46" s="1">
        <v>3.3368264999999999</v>
      </c>
      <c r="AQ46" s="1">
        <v>1194.7105300000001</v>
      </c>
      <c r="AR46" s="1">
        <v>1194.7105300000001</v>
      </c>
      <c r="AS46" s="1">
        <v>298.67763000000002</v>
      </c>
      <c r="AT46" s="1">
        <v>41.814868199999999</v>
      </c>
      <c r="AU46" s="1">
        <v>0</v>
      </c>
      <c r="AV46" s="2" t="s">
        <v>69</v>
      </c>
      <c r="AW46" s="1">
        <v>994.30600000000004</v>
      </c>
      <c r="AX46" s="1">
        <f>Table1[[#This Row],[Original Commissionable GMV]]-Table1[[#This Row],[Commission ]]-Table1[[#This Row],[Commission VAT]]-Table1[[#This Row],[FreeDeliveryFund]]</f>
        <v>854.21803180000006</v>
      </c>
      <c r="AY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M46" s="2"/>
    </row>
    <row r="47" spans="1:65" x14ac:dyDescent="0.25">
      <c r="L47" s="2">
        <v>504016</v>
      </c>
      <c r="M47" s="2" t="s">
        <v>52</v>
      </c>
      <c r="N47" s="2">
        <v>505839</v>
      </c>
      <c r="O47" t="s">
        <v>53</v>
      </c>
      <c r="P47">
        <v>3377283880</v>
      </c>
      <c r="Q47" s="5">
        <v>46024.619050925925</v>
      </c>
      <c r="R47" s="2" t="s">
        <v>62</v>
      </c>
      <c r="S47" s="2" t="s">
        <v>51</v>
      </c>
      <c r="T47" s="2" t="s">
        <v>55</v>
      </c>
      <c r="U47" s="2" t="s">
        <v>56</v>
      </c>
      <c r="V47" s="2" t="s">
        <v>57</v>
      </c>
      <c r="W47" s="2" t="s">
        <v>58</v>
      </c>
      <c r="X47" s="2" t="s">
        <v>59</v>
      </c>
      <c r="Y47" s="1">
        <v>847.02</v>
      </c>
      <c r="Z47" s="1">
        <v>847.02</v>
      </c>
      <c r="AA47" s="1">
        <v>32.99</v>
      </c>
      <c r="AB47" s="1">
        <v>29.99</v>
      </c>
      <c r="AC47" s="1">
        <v>0</v>
      </c>
      <c r="AD47" s="1">
        <v>111.75439</v>
      </c>
      <c r="AE47" s="1">
        <v>910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743</v>
      </c>
      <c r="AR47" s="1">
        <v>743</v>
      </c>
      <c r="AS47" s="1">
        <v>185.75</v>
      </c>
      <c r="AT47" s="1">
        <v>26.004999999999999</v>
      </c>
      <c r="AU47" s="1">
        <v>0</v>
      </c>
      <c r="AV47" s="2" t="s">
        <v>69</v>
      </c>
      <c r="AW47" s="1">
        <v>635.26499999999999</v>
      </c>
      <c r="AX47" s="1">
        <f>Table1[[#This Row],[Original Commissionable GMV]]-Table1[[#This Row],[Commission ]]-Table1[[#This Row],[Commission VAT]]-Table1[[#This Row],[FreeDeliveryFund]]</f>
        <v>531.245</v>
      </c>
      <c r="AY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M47" s="2"/>
    </row>
    <row r="48" spans="1:65" x14ac:dyDescent="0.25">
      <c r="L48" s="2">
        <v>504016</v>
      </c>
      <c r="M48" s="2" t="s">
        <v>52</v>
      </c>
      <c r="N48" s="2">
        <v>505835</v>
      </c>
      <c r="O48" t="s">
        <v>63</v>
      </c>
      <c r="P48">
        <v>3377298897</v>
      </c>
      <c r="Q48" s="5">
        <v>46024.6247337963</v>
      </c>
      <c r="R48" s="2" t="s">
        <v>54</v>
      </c>
      <c r="S48" s="2" t="s">
        <v>51</v>
      </c>
      <c r="T48" s="2" t="s">
        <v>55</v>
      </c>
      <c r="U48" s="2" t="s">
        <v>56</v>
      </c>
      <c r="V48" s="2" t="s">
        <v>57</v>
      </c>
      <c r="W48" s="2" t="s">
        <v>58</v>
      </c>
      <c r="X48" s="2" t="s">
        <v>59</v>
      </c>
      <c r="Y48" s="1">
        <v>1056</v>
      </c>
      <c r="Z48" s="1">
        <v>1056</v>
      </c>
      <c r="AA48" s="1">
        <v>29.99</v>
      </c>
      <c r="AB48" s="1">
        <v>29.99</v>
      </c>
      <c r="AC48" s="1">
        <v>0</v>
      </c>
      <c r="AD48" s="1">
        <v>137.05018000000001</v>
      </c>
      <c r="AE48" s="1">
        <v>1115.98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18.48</v>
      </c>
      <c r="AP48" s="1">
        <v>2.5872000000000002</v>
      </c>
      <c r="AQ48" s="1">
        <v>926.31578999999999</v>
      </c>
      <c r="AR48" s="1">
        <v>926.31578999999999</v>
      </c>
      <c r="AS48" s="1">
        <v>231.57894999999999</v>
      </c>
      <c r="AT48" s="1">
        <v>32.421053000000001</v>
      </c>
      <c r="AU48" s="1">
        <v>0</v>
      </c>
      <c r="AV48" s="2" t="s">
        <v>69</v>
      </c>
      <c r="AW48" s="1">
        <v>770.93299999999999</v>
      </c>
      <c r="AX48" s="1">
        <f>Table1[[#This Row],[Original Commissionable GMV]]-Table1[[#This Row],[Commission ]]-Table1[[#This Row],[Commission VAT]]-Table1[[#This Row],[FreeDeliveryFund]]</f>
        <v>662.315787</v>
      </c>
      <c r="AY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M48" s="2"/>
    </row>
    <row r="49" spans="12:65" x14ac:dyDescent="0.25">
      <c r="L49" s="2">
        <v>504016</v>
      </c>
      <c r="M49" s="2" t="s">
        <v>52</v>
      </c>
      <c r="N49" s="2">
        <v>505837</v>
      </c>
      <c r="O49" t="s">
        <v>53</v>
      </c>
      <c r="P49">
        <v>3377310404</v>
      </c>
      <c r="Q49" s="5">
        <v>46024.629016203704</v>
      </c>
      <c r="R49" s="2" t="s">
        <v>54</v>
      </c>
      <c r="S49" s="2" t="s">
        <v>51</v>
      </c>
      <c r="T49" s="2" t="s">
        <v>55</v>
      </c>
      <c r="U49" s="2" t="s">
        <v>56</v>
      </c>
      <c r="V49" s="2" t="s">
        <v>57</v>
      </c>
      <c r="W49" s="2" t="s">
        <v>58</v>
      </c>
      <c r="X49" s="2" t="s">
        <v>59</v>
      </c>
      <c r="Y49" s="1">
        <v>369.99</v>
      </c>
      <c r="Z49" s="1">
        <v>369.99</v>
      </c>
      <c r="AA49" s="1">
        <v>31.99</v>
      </c>
      <c r="AB49" s="1">
        <v>18.5</v>
      </c>
      <c r="AC49" s="1">
        <v>0</v>
      </c>
      <c r="AD49" s="1">
        <v>51.637889999999999</v>
      </c>
      <c r="AE49" s="1">
        <v>420.48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6.4748250000000001</v>
      </c>
      <c r="AP49" s="1">
        <v>0.90647549999999999</v>
      </c>
      <c r="AQ49" s="1">
        <v>324.55263000000002</v>
      </c>
      <c r="AR49" s="1">
        <v>324.55263000000002</v>
      </c>
      <c r="AS49" s="1">
        <v>81.138159999999999</v>
      </c>
      <c r="AT49" s="1">
        <v>11.359342399999999</v>
      </c>
      <c r="AU49" s="1">
        <v>0</v>
      </c>
      <c r="AV49" s="2" t="s">
        <v>69</v>
      </c>
      <c r="AW49" s="1">
        <v>270.11099999999999</v>
      </c>
      <c r="AX49" s="1">
        <f>Table1[[#This Row],[Original Commissionable GMV]]-Table1[[#This Row],[Commission ]]-Table1[[#This Row],[Commission VAT]]-Table1[[#This Row],[FreeDeliveryFund]]</f>
        <v>232.05512760000002</v>
      </c>
      <c r="AY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M49" s="2"/>
    </row>
    <row r="50" spans="12:65" x14ac:dyDescent="0.25">
      <c r="L50" s="2">
        <v>504016</v>
      </c>
      <c r="M50" s="2" t="s">
        <v>52</v>
      </c>
      <c r="N50" s="2">
        <v>505839</v>
      </c>
      <c r="O50" t="s">
        <v>63</v>
      </c>
      <c r="P50">
        <v>3377479932</v>
      </c>
      <c r="Q50" s="5">
        <v>46024.690057870372</v>
      </c>
      <c r="R50" s="2" t="s">
        <v>54</v>
      </c>
      <c r="S50" s="2" t="s">
        <v>51</v>
      </c>
      <c r="T50" s="2" t="s">
        <v>55</v>
      </c>
      <c r="U50" s="2" t="s">
        <v>56</v>
      </c>
      <c r="V50" s="2" t="s">
        <v>57</v>
      </c>
      <c r="W50" s="2" t="s">
        <v>58</v>
      </c>
      <c r="X50" s="2" t="s">
        <v>59</v>
      </c>
      <c r="Y50" s="1">
        <v>299.98</v>
      </c>
      <c r="Z50" s="1">
        <v>299.98</v>
      </c>
      <c r="AA50" s="1">
        <v>7</v>
      </c>
      <c r="AB50" s="1">
        <v>15</v>
      </c>
      <c r="AC50" s="1">
        <v>0</v>
      </c>
      <c r="AD50" s="1">
        <v>39.541400000000003</v>
      </c>
      <c r="AE50" s="1">
        <v>321.98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5.2496499999999999</v>
      </c>
      <c r="AP50" s="1">
        <v>0.73495100000000002</v>
      </c>
      <c r="AQ50" s="1">
        <v>263.14035000000001</v>
      </c>
      <c r="AR50" s="1">
        <v>263.14035000000001</v>
      </c>
      <c r="AS50" s="1">
        <v>65.785089999999997</v>
      </c>
      <c r="AT50" s="1">
        <v>9.2099125999999991</v>
      </c>
      <c r="AU50" s="1">
        <v>30.99</v>
      </c>
      <c r="AV50" s="2" t="s">
        <v>60</v>
      </c>
      <c r="AW50" s="1">
        <v>188.01</v>
      </c>
      <c r="AX50" s="1">
        <f>Table1[[#This Row],[Original Commissionable GMV]]-Table1[[#This Row],[Commission ]]-Table1[[#This Row],[Commission VAT]]-Table1[[#This Row],[FreeDeliveryFund]]</f>
        <v>157.15534740000001</v>
      </c>
      <c r="AY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M50" s="2"/>
    </row>
    <row r="51" spans="12:65" x14ac:dyDescent="0.25">
      <c r="L51" s="2">
        <v>504016</v>
      </c>
      <c r="M51" s="2" t="s">
        <v>52</v>
      </c>
      <c r="N51" s="2">
        <v>505839</v>
      </c>
      <c r="O51" t="s">
        <v>65</v>
      </c>
      <c r="P51">
        <v>3377480791</v>
      </c>
      <c r="Q51" s="5">
        <v>46024.690358796295</v>
      </c>
      <c r="R51" s="2" t="s">
        <v>62</v>
      </c>
      <c r="S51" s="2" t="s">
        <v>51</v>
      </c>
      <c r="T51" s="2" t="s">
        <v>55</v>
      </c>
      <c r="U51" s="2" t="s">
        <v>56</v>
      </c>
      <c r="V51" s="2" t="s">
        <v>57</v>
      </c>
      <c r="W51" s="2" t="s">
        <v>58</v>
      </c>
      <c r="X51" s="2" t="s">
        <v>59</v>
      </c>
      <c r="Y51" s="1">
        <v>524.99</v>
      </c>
      <c r="Z51" s="1">
        <v>524.99</v>
      </c>
      <c r="AA51" s="1">
        <v>29.99</v>
      </c>
      <c r="AB51" s="1">
        <v>26.25</v>
      </c>
      <c r="AC51" s="1">
        <v>0</v>
      </c>
      <c r="AD51" s="1">
        <v>71.37912</v>
      </c>
      <c r="AE51" s="1">
        <v>581.23</v>
      </c>
      <c r="AG51" s="1">
        <v>0</v>
      </c>
      <c r="AH51" s="1">
        <v>0</v>
      </c>
      <c r="AI51" s="1">
        <v>132.24</v>
      </c>
      <c r="AJ51" s="1">
        <v>0</v>
      </c>
      <c r="AK51" s="1">
        <v>132.24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460.51754</v>
      </c>
      <c r="AR51" s="1">
        <v>460.51754</v>
      </c>
      <c r="AS51" s="1">
        <v>115.12939</v>
      </c>
      <c r="AT51" s="1">
        <v>16.118114599999998</v>
      </c>
      <c r="AU51" s="1">
        <v>0</v>
      </c>
      <c r="AV51" s="2" t="s">
        <v>69</v>
      </c>
      <c r="AW51" s="1">
        <v>393.74200000000002</v>
      </c>
      <c r="AX51" s="1">
        <f>Table1[[#This Row],[Original Commissionable GMV]]-Table1[[#This Row],[Commission ]]-Table1[[#This Row],[Commission VAT]]-Table1[[#This Row],[FreeDeliveryFund]]</f>
        <v>329.27003539999998</v>
      </c>
      <c r="AY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M51" s="2"/>
    </row>
    <row r="52" spans="12:65" x14ac:dyDescent="0.25">
      <c r="L52" s="2">
        <v>504016</v>
      </c>
      <c r="M52" s="2" t="s">
        <v>52</v>
      </c>
      <c r="N52" s="2">
        <v>505839</v>
      </c>
      <c r="O52" t="s">
        <v>63</v>
      </c>
      <c r="P52">
        <v>3377561649</v>
      </c>
      <c r="Q52" s="5">
        <v>46024.716678240744</v>
      </c>
      <c r="R52" s="2" t="s">
        <v>54</v>
      </c>
      <c r="S52" s="2" t="s">
        <v>51</v>
      </c>
      <c r="T52" s="2" t="s">
        <v>55</v>
      </c>
      <c r="U52" s="2" t="s">
        <v>56</v>
      </c>
      <c r="V52" s="2" t="s">
        <v>57</v>
      </c>
      <c r="W52" s="2" t="s">
        <v>58</v>
      </c>
      <c r="X52" s="2" t="s">
        <v>59</v>
      </c>
      <c r="Y52" s="1">
        <v>658</v>
      </c>
      <c r="Z52" s="1">
        <v>658</v>
      </c>
      <c r="AA52" s="1">
        <v>27.99</v>
      </c>
      <c r="AB52" s="1">
        <v>29.99</v>
      </c>
      <c r="AC52" s="1">
        <v>0</v>
      </c>
      <c r="AD52" s="1">
        <v>87.927369999999996</v>
      </c>
      <c r="AE52" s="1">
        <v>715.98</v>
      </c>
      <c r="AG52" s="1">
        <v>0</v>
      </c>
      <c r="AH52" s="1">
        <v>0</v>
      </c>
      <c r="AI52" s="1">
        <v>132.24</v>
      </c>
      <c r="AJ52" s="1">
        <v>0</v>
      </c>
      <c r="AK52" s="1">
        <v>132.24</v>
      </c>
      <c r="AL52" s="1">
        <v>0</v>
      </c>
      <c r="AM52" s="1">
        <v>0</v>
      </c>
      <c r="AN52" s="1">
        <v>0</v>
      </c>
      <c r="AO52" s="1">
        <v>11.515000000000001</v>
      </c>
      <c r="AP52" s="1">
        <v>1.6121000000000001</v>
      </c>
      <c r="AQ52" s="1">
        <v>577.19298000000003</v>
      </c>
      <c r="AR52" s="1">
        <v>577.19298000000003</v>
      </c>
      <c r="AS52" s="1">
        <v>144.29825</v>
      </c>
      <c r="AT52" s="1">
        <v>20.201754999999999</v>
      </c>
      <c r="AU52" s="1">
        <v>0</v>
      </c>
      <c r="AV52" s="2" t="s">
        <v>69</v>
      </c>
      <c r="AW52" s="1">
        <v>480.37299999999999</v>
      </c>
      <c r="AX52" s="1">
        <f>Table1[[#This Row],[Original Commissionable GMV]]-Table1[[#This Row],[Commission ]]-Table1[[#This Row],[Commission VAT]]-Table1[[#This Row],[FreeDeliveryFund]]</f>
        <v>412.69297500000005</v>
      </c>
      <c r="AY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M52" s="2"/>
    </row>
    <row r="53" spans="12:65" x14ac:dyDescent="0.25">
      <c r="L53" s="2">
        <v>504016</v>
      </c>
      <c r="M53" s="2" t="s">
        <v>52</v>
      </c>
      <c r="N53" s="2">
        <v>505837</v>
      </c>
      <c r="O53" t="s">
        <v>63</v>
      </c>
      <c r="P53">
        <v>3377588981</v>
      </c>
      <c r="Q53" s="5">
        <v>46024.725277777776</v>
      </c>
      <c r="R53" s="2" t="s">
        <v>62</v>
      </c>
      <c r="S53" s="2" t="s">
        <v>51</v>
      </c>
      <c r="T53" s="2" t="s">
        <v>55</v>
      </c>
      <c r="U53" s="2" t="s">
        <v>59</v>
      </c>
      <c r="V53" s="2" t="s">
        <v>57</v>
      </c>
      <c r="W53" s="2" t="s">
        <v>58</v>
      </c>
      <c r="X53" s="2" t="s">
        <v>59</v>
      </c>
      <c r="Y53" s="1">
        <v>329</v>
      </c>
      <c r="Z53" s="1">
        <v>329</v>
      </c>
      <c r="AA53" s="1">
        <v>7</v>
      </c>
      <c r="AB53" s="1">
        <v>16.45</v>
      </c>
      <c r="AC53" s="1">
        <v>0</v>
      </c>
      <c r="AD53" s="1">
        <v>43.283329999999999</v>
      </c>
      <c r="AE53" s="1">
        <v>352.45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288.59649000000002</v>
      </c>
      <c r="AR53" s="1">
        <v>288.59649000000002</v>
      </c>
      <c r="AS53" s="1">
        <v>72.149119999999996</v>
      </c>
      <c r="AT53" s="1">
        <v>10.1008768</v>
      </c>
      <c r="AU53" s="1">
        <v>28.99</v>
      </c>
      <c r="AV53" s="2" t="s">
        <v>60</v>
      </c>
      <c r="AW53" s="1">
        <v>217.76</v>
      </c>
      <c r="AX53" s="1">
        <f>Table1[[#This Row],[Original Commissionable GMV]]-Table1[[#This Row],[Commission ]]-Table1[[#This Row],[Commission VAT]]-Table1[[#This Row],[FreeDeliveryFund]]</f>
        <v>177.35649320000002</v>
      </c>
      <c r="AY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M53" s="2"/>
    </row>
    <row r="54" spans="12:65" x14ac:dyDescent="0.25">
      <c r="L54" s="2">
        <v>504016</v>
      </c>
      <c r="M54" s="2" t="s">
        <v>52</v>
      </c>
      <c r="N54" s="2">
        <v>505837</v>
      </c>
      <c r="O54" t="s">
        <v>63</v>
      </c>
      <c r="P54">
        <v>3377597013</v>
      </c>
      <c r="Q54" s="5">
        <v>46024.727777777778</v>
      </c>
      <c r="R54" s="2" t="s">
        <v>54</v>
      </c>
      <c r="S54" s="2" t="s">
        <v>51</v>
      </c>
      <c r="T54" s="2" t="s">
        <v>55</v>
      </c>
      <c r="U54" s="2" t="s">
        <v>56</v>
      </c>
      <c r="V54" s="2" t="s">
        <v>57</v>
      </c>
      <c r="W54" s="2" t="s">
        <v>58</v>
      </c>
      <c r="X54" s="2" t="s">
        <v>59</v>
      </c>
      <c r="Y54" s="1">
        <v>572.98</v>
      </c>
      <c r="Z54" s="1">
        <v>572.98</v>
      </c>
      <c r="AA54" s="1">
        <v>26.99</v>
      </c>
      <c r="AB54" s="1">
        <v>28.65</v>
      </c>
      <c r="AC54" s="1">
        <v>0</v>
      </c>
      <c r="AD54" s="1">
        <v>77.198949999999996</v>
      </c>
      <c r="AE54" s="1">
        <v>628.62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10.027150000000001</v>
      </c>
      <c r="AP54" s="1">
        <v>1.4038010000000001</v>
      </c>
      <c r="AQ54" s="1">
        <v>502.61403999999999</v>
      </c>
      <c r="AR54" s="1">
        <v>502.61403999999999</v>
      </c>
      <c r="AS54" s="1">
        <v>125.65351</v>
      </c>
      <c r="AT54" s="1">
        <v>17.591491399999999</v>
      </c>
      <c r="AU54" s="1">
        <v>0</v>
      </c>
      <c r="AV54" s="2" t="s">
        <v>69</v>
      </c>
      <c r="AW54" s="1">
        <v>418.30399999999997</v>
      </c>
      <c r="AX54" s="1">
        <f>Table1[[#This Row],[Original Commissionable GMV]]-Table1[[#This Row],[Commission ]]-Table1[[#This Row],[Commission VAT]]-Table1[[#This Row],[FreeDeliveryFund]]</f>
        <v>359.36903860000001</v>
      </c>
      <c r="AY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M54" s="2"/>
    </row>
    <row r="55" spans="12:65" x14ac:dyDescent="0.25">
      <c r="L55" s="2">
        <v>504016</v>
      </c>
      <c r="M55" s="2" t="s">
        <v>52</v>
      </c>
      <c r="N55" s="2">
        <v>505837</v>
      </c>
      <c r="O55" t="s">
        <v>53</v>
      </c>
      <c r="P55">
        <v>3377609091</v>
      </c>
      <c r="Q55" s="5">
        <v>46024.731585648151</v>
      </c>
      <c r="R55" s="2" t="s">
        <v>62</v>
      </c>
      <c r="S55" s="2" t="s">
        <v>51</v>
      </c>
      <c r="T55" s="2" t="s">
        <v>55</v>
      </c>
      <c r="U55" s="2" t="s">
        <v>56</v>
      </c>
      <c r="V55" s="2" t="s">
        <v>57</v>
      </c>
      <c r="W55" s="2" t="s">
        <v>58</v>
      </c>
      <c r="X55" s="2" t="s">
        <v>59</v>
      </c>
      <c r="Y55" s="1">
        <v>444.93</v>
      </c>
      <c r="Z55" s="1">
        <v>444.93</v>
      </c>
      <c r="AA55" s="1">
        <v>0</v>
      </c>
      <c r="AB55" s="1">
        <v>22.25</v>
      </c>
      <c r="AC55" s="1">
        <v>0</v>
      </c>
      <c r="AD55" s="1">
        <v>57.372979999999998</v>
      </c>
      <c r="AE55" s="1">
        <v>467.18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390.28946999999999</v>
      </c>
      <c r="AR55" s="1">
        <v>390.28946999999999</v>
      </c>
      <c r="AS55" s="1">
        <v>97.572370000000006</v>
      </c>
      <c r="AT55" s="1">
        <v>13.6601318</v>
      </c>
      <c r="AU55" s="1">
        <v>34.99</v>
      </c>
      <c r="AV55" s="2" t="s">
        <v>60</v>
      </c>
      <c r="AW55" s="1">
        <v>298.70699999999999</v>
      </c>
      <c r="AX55" s="1">
        <f>Table1[[#This Row],[Original Commissionable GMV]]-Table1[[#This Row],[Commission ]]-Table1[[#This Row],[Commission VAT]]-Table1[[#This Row],[FreeDeliveryFund]]</f>
        <v>244.06696819999996</v>
      </c>
      <c r="AY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M55" s="2"/>
    </row>
    <row r="56" spans="12:65" x14ac:dyDescent="0.25">
      <c r="L56" s="2">
        <v>504016</v>
      </c>
      <c r="M56" s="2" t="s">
        <v>52</v>
      </c>
      <c r="N56" s="2">
        <v>505839</v>
      </c>
      <c r="O56" t="s">
        <v>63</v>
      </c>
      <c r="P56">
        <v>3377609825</v>
      </c>
      <c r="Q56" s="5">
        <v>46024.731793981482</v>
      </c>
      <c r="R56" s="2" t="s">
        <v>62</v>
      </c>
      <c r="S56" s="2" t="s">
        <v>51</v>
      </c>
      <c r="T56" s="2" t="s">
        <v>55</v>
      </c>
      <c r="U56" s="2" t="s">
        <v>59</v>
      </c>
      <c r="V56" s="2" t="s">
        <v>57</v>
      </c>
      <c r="W56" s="2" t="s">
        <v>58</v>
      </c>
      <c r="X56" s="2" t="s">
        <v>59</v>
      </c>
      <c r="Y56" s="1">
        <v>588.99</v>
      </c>
      <c r="Z56" s="1">
        <v>588.99</v>
      </c>
      <c r="AA56" s="1">
        <v>27.99</v>
      </c>
      <c r="AB56" s="1">
        <v>29.45</v>
      </c>
      <c r="AC56" s="1">
        <v>0</v>
      </c>
      <c r="AD56" s="1">
        <v>79.386139999999997</v>
      </c>
      <c r="AE56" s="1">
        <v>646.42999999999995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516.65788999999995</v>
      </c>
      <c r="AR56" s="1">
        <v>516.65788999999995</v>
      </c>
      <c r="AS56" s="1">
        <v>129.16446999999999</v>
      </c>
      <c r="AT56" s="1">
        <v>18.083025800000001</v>
      </c>
      <c r="AU56" s="1">
        <v>0</v>
      </c>
      <c r="AV56" s="2" t="s">
        <v>69</v>
      </c>
      <c r="AW56" s="1">
        <v>441.74299999999999</v>
      </c>
      <c r="AX56" s="1">
        <f>Table1[[#This Row],[Original Commissionable GMV]]-Table1[[#This Row],[Commission ]]-Table1[[#This Row],[Commission VAT]]-Table1[[#This Row],[FreeDeliveryFund]]</f>
        <v>369.41039419999993</v>
      </c>
      <c r="AY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M56" s="2"/>
    </row>
    <row r="57" spans="12:65" x14ac:dyDescent="0.25">
      <c r="L57" s="2">
        <v>504016</v>
      </c>
      <c r="M57" s="2" t="s">
        <v>52</v>
      </c>
      <c r="N57" s="2">
        <v>505837</v>
      </c>
      <c r="O57" t="s">
        <v>53</v>
      </c>
      <c r="P57">
        <v>3377661953</v>
      </c>
      <c r="Q57" s="5">
        <v>46024.747766203705</v>
      </c>
      <c r="R57" s="2" t="s">
        <v>54</v>
      </c>
      <c r="S57" s="2" t="s">
        <v>51</v>
      </c>
      <c r="T57" s="2" t="s">
        <v>55</v>
      </c>
      <c r="U57" s="2" t="s">
        <v>56</v>
      </c>
      <c r="V57" s="2" t="s">
        <v>57</v>
      </c>
      <c r="W57" s="2" t="s">
        <v>58</v>
      </c>
      <c r="X57" s="2" t="s">
        <v>59</v>
      </c>
      <c r="Y57" s="1">
        <v>1354.62</v>
      </c>
      <c r="Z57" s="1">
        <v>1354.62</v>
      </c>
      <c r="AA57" s="1">
        <v>30.99</v>
      </c>
      <c r="AB57" s="1">
        <v>29.99</v>
      </c>
      <c r="AC57" s="1">
        <v>0</v>
      </c>
      <c r="AD57" s="1">
        <v>173.84560999999999</v>
      </c>
      <c r="AE57" s="1">
        <v>1415.6</v>
      </c>
      <c r="AG57" s="1">
        <v>0</v>
      </c>
      <c r="AH57" s="1">
        <v>0</v>
      </c>
      <c r="AI57" s="1">
        <v>132.24</v>
      </c>
      <c r="AJ57" s="1">
        <v>0</v>
      </c>
      <c r="AK57" s="1">
        <v>132.24</v>
      </c>
      <c r="AL57" s="1">
        <v>0</v>
      </c>
      <c r="AM57" s="1">
        <v>0</v>
      </c>
      <c r="AN57" s="1">
        <v>0</v>
      </c>
      <c r="AO57" s="1">
        <v>23.705850000000002</v>
      </c>
      <c r="AP57" s="1">
        <v>3.318819</v>
      </c>
      <c r="AQ57" s="1">
        <v>1188.26316</v>
      </c>
      <c r="AR57" s="1">
        <v>1188.26316</v>
      </c>
      <c r="AS57" s="1">
        <v>297.06578999999999</v>
      </c>
      <c r="AT57" s="1">
        <v>41.589210600000001</v>
      </c>
      <c r="AU57" s="1">
        <v>0</v>
      </c>
      <c r="AV57" s="2" t="s">
        <v>69</v>
      </c>
      <c r="AW57" s="1">
        <v>988.94</v>
      </c>
      <c r="AX57" s="1">
        <f>Table1[[#This Row],[Original Commissionable GMV]]-Table1[[#This Row],[Commission ]]-Table1[[#This Row],[Commission VAT]]-Table1[[#This Row],[FreeDeliveryFund]]</f>
        <v>849.60815939999998</v>
      </c>
      <c r="AY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M57" s="2"/>
    </row>
    <row r="58" spans="12:65" x14ac:dyDescent="0.25">
      <c r="L58" s="2">
        <v>504016</v>
      </c>
      <c r="M58" s="2" t="s">
        <v>52</v>
      </c>
      <c r="N58" s="2">
        <v>505835</v>
      </c>
      <c r="O58" t="s">
        <v>53</v>
      </c>
      <c r="P58">
        <v>3377714356</v>
      </c>
      <c r="Q58" s="5">
        <v>46024.763483796298</v>
      </c>
      <c r="R58" s="2" t="s">
        <v>62</v>
      </c>
      <c r="S58" s="2" t="s">
        <v>51</v>
      </c>
      <c r="T58" s="2" t="s">
        <v>55</v>
      </c>
      <c r="U58" s="2" t="s">
        <v>56</v>
      </c>
      <c r="V58" s="2" t="s">
        <v>57</v>
      </c>
      <c r="W58" s="2" t="s">
        <v>58</v>
      </c>
      <c r="X58" s="2" t="s">
        <v>59</v>
      </c>
      <c r="Y58" s="1">
        <v>273.99</v>
      </c>
      <c r="Z58" s="1">
        <v>273.99</v>
      </c>
      <c r="AA58" s="1">
        <v>0</v>
      </c>
      <c r="AB58" s="1">
        <v>13.7</v>
      </c>
      <c r="AC58" s="1">
        <v>0</v>
      </c>
      <c r="AD58" s="1">
        <v>35.330350000000003</v>
      </c>
      <c r="AE58" s="1">
        <v>287.69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240.34210999999999</v>
      </c>
      <c r="AR58" s="1">
        <v>240.34210999999999</v>
      </c>
      <c r="AS58" s="1">
        <v>60.085529999999999</v>
      </c>
      <c r="AT58" s="1">
        <v>8.4119741999999995</v>
      </c>
      <c r="AU58" s="1">
        <v>33.99</v>
      </c>
      <c r="AV58" s="2" t="s">
        <v>60</v>
      </c>
      <c r="AW58" s="1">
        <v>171.50200000000001</v>
      </c>
      <c r="AX58" s="1">
        <f>Table1[[#This Row],[Original Commissionable GMV]]-Table1[[#This Row],[Commission ]]-Table1[[#This Row],[Commission VAT]]-Table1[[#This Row],[FreeDeliveryFund]]</f>
        <v>137.85460579999997</v>
      </c>
      <c r="AY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M58" s="2"/>
    </row>
    <row r="59" spans="12:65" x14ac:dyDescent="0.25">
      <c r="L59" s="2">
        <v>504016</v>
      </c>
      <c r="M59" s="2" t="s">
        <v>52</v>
      </c>
      <c r="N59" s="2">
        <v>505837</v>
      </c>
      <c r="O59" t="s">
        <v>65</v>
      </c>
      <c r="P59">
        <v>3377742654</v>
      </c>
      <c r="Q59" s="5">
        <v>46024.771840277775</v>
      </c>
      <c r="R59" s="2" t="s">
        <v>54</v>
      </c>
      <c r="S59" s="2" t="s">
        <v>51</v>
      </c>
      <c r="T59" s="2" t="s">
        <v>55</v>
      </c>
      <c r="U59" s="2" t="s">
        <v>59</v>
      </c>
      <c r="V59" s="2" t="s">
        <v>57</v>
      </c>
      <c r="W59" s="2" t="s">
        <v>58</v>
      </c>
      <c r="X59" s="2" t="s">
        <v>59</v>
      </c>
      <c r="Y59" s="1">
        <v>384.59</v>
      </c>
      <c r="Z59" s="1">
        <v>384.59</v>
      </c>
      <c r="AA59" s="1">
        <v>29.99</v>
      </c>
      <c r="AB59" s="1">
        <v>19.23</v>
      </c>
      <c r="AC59" s="1">
        <v>0</v>
      </c>
      <c r="AD59" s="1">
        <v>53.274909999999998</v>
      </c>
      <c r="AE59" s="1">
        <v>433.81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30</v>
      </c>
      <c r="AN59" s="1">
        <v>4.2</v>
      </c>
      <c r="AO59" s="1">
        <v>6.7303249999999997</v>
      </c>
      <c r="AP59" s="1">
        <v>0.94224549999999996</v>
      </c>
      <c r="AQ59" s="1">
        <v>337.35964999999999</v>
      </c>
      <c r="AR59" s="1">
        <v>337.35964999999999</v>
      </c>
      <c r="AS59" s="1">
        <v>84.339910000000003</v>
      </c>
      <c r="AT59" s="1">
        <v>11.807587399999999</v>
      </c>
      <c r="AU59" s="1">
        <v>0</v>
      </c>
      <c r="AV59" s="2" t="s">
        <v>69</v>
      </c>
      <c r="AW59" s="1">
        <v>246.57</v>
      </c>
      <c r="AX59" s="1">
        <f>Table1[[#This Row],[Original Commissionable GMV]]-Table1[[#This Row],[Commission ]]-Table1[[#This Row],[Commission VAT]]-Table1[[#This Row],[FreeDeliveryFund]]</f>
        <v>241.2121526</v>
      </c>
      <c r="AY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M59" s="2"/>
    </row>
    <row r="60" spans="12:65" x14ac:dyDescent="0.25">
      <c r="L60" s="2">
        <v>504016</v>
      </c>
      <c r="M60" s="2" t="s">
        <v>52</v>
      </c>
      <c r="N60" s="2">
        <v>505837</v>
      </c>
      <c r="O60" t="s">
        <v>53</v>
      </c>
      <c r="P60">
        <v>3377771207</v>
      </c>
      <c r="Q60" s="5">
        <v>46024.780462962961</v>
      </c>
      <c r="R60" s="2" t="s">
        <v>54</v>
      </c>
      <c r="S60" s="2" t="s">
        <v>51</v>
      </c>
      <c r="T60" s="2" t="s">
        <v>55</v>
      </c>
      <c r="U60" s="2" t="s">
        <v>59</v>
      </c>
      <c r="V60" s="2" t="s">
        <v>57</v>
      </c>
      <c r="W60" s="2" t="s">
        <v>58</v>
      </c>
      <c r="X60" s="2" t="s">
        <v>59</v>
      </c>
      <c r="Y60" s="1">
        <v>538.98</v>
      </c>
      <c r="Z60" s="1">
        <v>538.98</v>
      </c>
      <c r="AA60" s="1">
        <v>0</v>
      </c>
      <c r="AB60" s="1">
        <v>26.95</v>
      </c>
      <c r="AC60" s="1">
        <v>0</v>
      </c>
      <c r="AD60" s="1">
        <v>69.50018</v>
      </c>
      <c r="AE60" s="1">
        <v>565.92999999999995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9.43215</v>
      </c>
      <c r="AP60" s="1">
        <v>1.3205009999999999</v>
      </c>
      <c r="AQ60" s="1">
        <v>472.78946999999999</v>
      </c>
      <c r="AR60" s="1">
        <v>472.78946999999999</v>
      </c>
      <c r="AS60" s="1">
        <v>118.19737000000001</v>
      </c>
      <c r="AT60" s="1">
        <v>16.547631800000001</v>
      </c>
      <c r="AU60" s="1">
        <v>32.99</v>
      </c>
      <c r="AV60" s="2" t="s">
        <v>60</v>
      </c>
      <c r="AW60" s="1">
        <v>360.49200000000002</v>
      </c>
      <c r="AX60" s="1">
        <f>Table1[[#This Row],[Original Commissionable GMV]]-Table1[[#This Row],[Commission ]]-Table1[[#This Row],[Commission VAT]]-Table1[[#This Row],[FreeDeliveryFund]]</f>
        <v>305.05446819999997</v>
      </c>
      <c r="AY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M60" s="2"/>
    </row>
    <row r="61" spans="12:65" x14ac:dyDescent="0.25">
      <c r="L61" s="2">
        <v>504016</v>
      </c>
      <c r="M61" s="2" t="s">
        <v>52</v>
      </c>
      <c r="N61" s="2">
        <v>505837</v>
      </c>
      <c r="O61" t="s">
        <v>53</v>
      </c>
      <c r="P61">
        <v>3377781214</v>
      </c>
      <c r="Q61" s="5">
        <v>46024.783460648148</v>
      </c>
      <c r="R61" s="2" t="s">
        <v>54</v>
      </c>
      <c r="S61" s="2" t="s">
        <v>51</v>
      </c>
      <c r="T61" s="2" t="s">
        <v>55</v>
      </c>
      <c r="U61" s="2" t="s">
        <v>56</v>
      </c>
      <c r="V61" s="2" t="s">
        <v>57</v>
      </c>
      <c r="W61" s="2" t="s">
        <v>58</v>
      </c>
      <c r="X61" s="2" t="s">
        <v>59</v>
      </c>
      <c r="Y61" s="1">
        <v>1452.98</v>
      </c>
      <c r="Z61" s="1">
        <v>1452.98</v>
      </c>
      <c r="AA61" s="1">
        <v>0</v>
      </c>
      <c r="AB61" s="1">
        <v>29.99</v>
      </c>
      <c r="AC61" s="1">
        <v>0</v>
      </c>
      <c r="AD61" s="1">
        <v>182.11912000000001</v>
      </c>
      <c r="AE61" s="1">
        <v>1482.97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25.427150000000001</v>
      </c>
      <c r="AP61" s="1">
        <v>3.5598010000000002</v>
      </c>
      <c r="AQ61" s="1">
        <v>1274.54386</v>
      </c>
      <c r="AR61" s="1">
        <v>1274.54386</v>
      </c>
      <c r="AS61" s="1">
        <v>318.63596999999999</v>
      </c>
      <c r="AT61" s="1">
        <v>44.609035800000001</v>
      </c>
      <c r="AU61" s="1">
        <v>33.99</v>
      </c>
      <c r="AV61" s="2" t="s">
        <v>60</v>
      </c>
      <c r="AW61" s="1">
        <v>1026.758</v>
      </c>
      <c r="AX61" s="1">
        <f>Table1[[#This Row],[Original Commissionable GMV]]-Table1[[#This Row],[Commission ]]-Table1[[#This Row],[Commission VAT]]-Table1[[#This Row],[FreeDeliveryFund]]</f>
        <v>877.30885419999993</v>
      </c>
      <c r="AY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M61" s="2"/>
    </row>
    <row r="62" spans="12:65" x14ac:dyDescent="0.25">
      <c r="L62" s="2">
        <v>504016</v>
      </c>
      <c r="M62" s="2" t="s">
        <v>52</v>
      </c>
      <c r="N62" s="2">
        <v>505839</v>
      </c>
      <c r="O62" t="s">
        <v>63</v>
      </c>
      <c r="P62">
        <v>3377888984</v>
      </c>
      <c r="Q62" s="5">
        <v>46024.816041666665</v>
      </c>
      <c r="R62" s="2" t="s">
        <v>54</v>
      </c>
      <c r="S62" s="2" t="s">
        <v>51</v>
      </c>
      <c r="T62" s="2" t="s">
        <v>55</v>
      </c>
      <c r="U62" s="2" t="s">
        <v>56</v>
      </c>
      <c r="V62" s="2" t="s">
        <v>57</v>
      </c>
      <c r="W62" s="2" t="s">
        <v>58</v>
      </c>
      <c r="X62" s="2" t="s">
        <v>59</v>
      </c>
      <c r="Y62" s="1">
        <v>487.99</v>
      </c>
      <c r="Z62" s="1">
        <v>487.99</v>
      </c>
      <c r="AA62" s="1">
        <v>0</v>
      </c>
      <c r="AB62" s="1">
        <v>24.4</v>
      </c>
      <c r="AC62" s="1">
        <v>0</v>
      </c>
      <c r="AD62" s="1">
        <v>62.925089999999997</v>
      </c>
      <c r="AE62" s="1">
        <v>512.39</v>
      </c>
      <c r="AG62" s="1">
        <v>0</v>
      </c>
      <c r="AH62" s="1">
        <v>0</v>
      </c>
      <c r="AI62" s="1">
        <v>132.24</v>
      </c>
      <c r="AJ62" s="1">
        <v>40</v>
      </c>
      <c r="AK62" s="1">
        <v>132.24</v>
      </c>
      <c r="AL62" s="1">
        <v>0</v>
      </c>
      <c r="AM62" s="1">
        <v>0</v>
      </c>
      <c r="AN62" s="1">
        <v>0</v>
      </c>
      <c r="AO62" s="1">
        <v>8.5398250000000004</v>
      </c>
      <c r="AP62" s="1">
        <v>1.1955754999999999</v>
      </c>
      <c r="AQ62" s="1">
        <v>428.06139999999999</v>
      </c>
      <c r="AR62" s="1">
        <v>428.06139999999999</v>
      </c>
      <c r="AS62" s="1">
        <v>107.01535</v>
      </c>
      <c r="AT62" s="1">
        <v>14.982149</v>
      </c>
      <c r="AU62" s="1">
        <v>29.99</v>
      </c>
      <c r="AV62" s="2" t="s">
        <v>60</v>
      </c>
      <c r="AW62" s="1">
        <v>326.267</v>
      </c>
      <c r="AX62" s="1">
        <f>Table1[[#This Row],[Original Commissionable GMV]]-Table1[[#This Row],[Commission ]]-Table1[[#This Row],[Commission VAT]]-Table1[[#This Row],[FreeDeliveryFund]]</f>
        <v>276.07390099999998</v>
      </c>
      <c r="AY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M62" s="2"/>
    </row>
    <row r="63" spans="12:65" x14ac:dyDescent="0.25">
      <c r="L63" s="2">
        <v>504016</v>
      </c>
      <c r="M63" s="2" t="s">
        <v>52</v>
      </c>
      <c r="N63" s="2">
        <v>505837</v>
      </c>
      <c r="O63" t="s">
        <v>53</v>
      </c>
      <c r="P63">
        <v>3377932929</v>
      </c>
      <c r="Q63" s="5">
        <v>46024.829641203702</v>
      </c>
      <c r="R63" s="2" t="s">
        <v>54</v>
      </c>
      <c r="S63" s="2" t="s">
        <v>51</v>
      </c>
      <c r="T63" s="2" t="s">
        <v>55</v>
      </c>
      <c r="U63" s="2" t="s">
        <v>59</v>
      </c>
      <c r="V63" s="2" t="s">
        <v>57</v>
      </c>
      <c r="W63" s="2" t="s">
        <v>58</v>
      </c>
      <c r="X63" s="2" t="s">
        <v>59</v>
      </c>
      <c r="Y63" s="1">
        <v>618.66</v>
      </c>
      <c r="Z63" s="1">
        <v>618.66</v>
      </c>
      <c r="AA63" s="1">
        <v>0</v>
      </c>
      <c r="AB63" s="1">
        <v>29.99</v>
      </c>
      <c r="AC63" s="1">
        <v>0</v>
      </c>
      <c r="AD63" s="1">
        <v>79.658770000000004</v>
      </c>
      <c r="AE63" s="1">
        <v>648.65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10.826549999999999</v>
      </c>
      <c r="AP63" s="1">
        <v>1.515717</v>
      </c>
      <c r="AQ63" s="1">
        <v>542.68421000000001</v>
      </c>
      <c r="AR63" s="1">
        <v>542.68421000000001</v>
      </c>
      <c r="AS63" s="1">
        <v>135.67105000000001</v>
      </c>
      <c r="AT63" s="1">
        <v>18.993946999999999</v>
      </c>
      <c r="AU63" s="1">
        <v>34.99</v>
      </c>
      <c r="AV63" s="2" t="s">
        <v>60</v>
      </c>
      <c r="AW63" s="1">
        <v>416.66300000000001</v>
      </c>
      <c r="AX63" s="1">
        <f>Table1[[#This Row],[Original Commissionable GMV]]-Table1[[#This Row],[Commission ]]-Table1[[#This Row],[Commission VAT]]-Table1[[#This Row],[FreeDeliveryFund]]</f>
        <v>353.02921299999997</v>
      </c>
      <c r="AY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M63" s="2"/>
    </row>
    <row r="64" spans="12:65" x14ac:dyDescent="0.25">
      <c r="L64" s="2">
        <v>504016</v>
      </c>
      <c r="M64" s="2" t="s">
        <v>52</v>
      </c>
      <c r="N64" s="2">
        <v>505839</v>
      </c>
      <c r="O64" t="s">
        <v>65</v>
      </c>
      <c r="P64">
        <v>3377996602</v>
      </c>
      <c r="Q64" s="5">
        <v>46024.849594907406</v>
      </c>
      <c r="R64" s="2" t="s">
        <v>54</v>
      </c>
      <c r="S64" s="2" t="s">
        <v>51</v>
      </c>
      <c r="T64" s="2" t="s">
        <v>55</v>
      </c>
      <c r="U64" s="2" t="s">
        <v>56</v>
      </c>
      <c r="V64" s="2" t="s">
        <v>57</v>
      </c>
      <c r="W64" s="2" t="s">
        <v>58</v>
      </c>
      <c r="X64" s="2" t="s">
        <v>59</v>
      </c>
      <c r="Y64" s="1">
        <v>275.99</v>
      </c>
      <c r="Z64" s="1">
        <v>275.99</v>
      </c>
      <c r="AA64" s="1">
        <v>29.99</v>
      </c>
      <c r="AB64" s="1">
        <v>13.8</v>
      </c>
      <c r="AC64" s="1">
        <v>0</v>
      </c>
      <c r="AD64" s="1">
        <v>39.271230000000003</v>
      </c>
      <c r="AE64" s="1">
        <v>319.77999999999997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4.8298249999999996</v>
      </c>
      <c r="AP64" s="1">
        <v>0.67617550000000004</v>
      </c>
      <c r="AQ64" s="1">
        <v>242.09648999999999</v>
      </c>
      <c r="AR64" s="1">
        <v>242.09648999999999</v>
      </c>
      <c r="AS64" s="1">
        <v>60.524120000000003</v>
      </c>
      <c r="AT64" s="1">
        <v>8.4733768000000005</v>
      </c>
      <c r="AU64" s="1">
        <v>0</v>
      </c>
      <c r="AV64" s="2" t="s">
        <v>69</v>
      </c>
      <c r="AW64" s="1">
        <v>201.48699999999999</v>
      </c>
      <c r="AX64" s="1">
        <f>Table1[[#This Row],[Original Commissionable GMV]]-Table1[[#This Row],[Commission ]]-Table1[[#This Row],[Commission VAT]]-Table1[[#This Row],[FreeDeliveryFund]]</f>
        <v>173.09899319999997</v>
      </c>
      <c r="AY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M64" s="2"/>
    </row>
    <row r="65" spans="12:65" x14ac:dyDescent="0.25">
      <c r="L65" s="2">
        <v>504016</v>
      </c>
      <c r="M65" s="2" t="s">
        <v>52</v>
      </c>
      <c r="N65" s="2">
        <v>505839</v>
      </c>
      <c r="O65" t="s">
        <v>63</v>
      </c>
      <c r="P65">
        <v>3378012974</v>
      </c>
      <c r="Q65" s="5">
        <v>46024.854884259257</v>
      </c>
      <c r="R65" s="2" t="s">
        <v>62</v>
      </c>
      <c r="S65" s="2" t="s">
        <v>51</v>
      </c>
      <c r="T65" s="2" t="s">
        <v>55</v>
      </c>
      <c r="U65" s="2" t="s">
        <v>56</v>
      </c>
      <c r="V65" s="2" t="s">
        <v>57</v>
      </c>
      <c r="W65" s="2" t="s">
        <v>58</v>
      </c>
      <c r="X65" s="2" t="s">
        <v>59</v>
      </c>
      <c r="Y65" s="1">
        <v>562.98</v>
      </c>
      <c r="Z65" s="1">
        <v>562.98</v>
      </c>
      <c r="AA65" s="1">
        <v>0</v>
      </c>
      <c r="AB65" s="1">
        <v>28.15</v>
      </c>
      <c r="AC65" s="1">
        <v>0</v>
      </c>
      <c r="AD65" s="1">
        <v>72.594909999999999</v>
      </c>
      <c r="AE65" s="1">
        <v>591.13</v>
      </c>
      <c r="AG65" s="1">
        <v>0</v>
      </c>
      <c r="AH65" s="1">
        <v>0</v>
      </c>
      <c r="AI65" s="1">
        <v>0</v>
      </c>
      <c r="AJ65" s="1">
        <v>50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493.84210999999999</v>
      </c>
      <c r="AR65" s="1">
        <v>493.84210999999999</v>
      </c>
      <c r="AS65" s="1">
        <v>123.46053000000001</v>
      </c>
      <c r="AT65" s="1">
        <v>17.284474199999998</v>
      </c>
      <c r="AU65" s="1">
        <v>26.99</v>
      </c>
      <c r="AV65" s="2" t="s">
        <v>60</v>
      </c>
      <c r="AW65" s="1">
        <v>395.245</v>
      </c>
      <c r="AX65" s="1">
        <f>Table1[[#This Row],[Original Commissionable GMV]]-Table1[[#This Row],[Commission ]]-Table1[[#This Row],[Commission VAT]]-Table1[[#This Row],[FreeDeliveryFund]]</f>
        <v>326.1071058</v>
      </c>
      <c r="AY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M65" s="2"/>
    </row>
    <row r="66" spans="12:65" x14ac:dyDescent="0.25">
      <c r="L66" s="2">
        <v>504016</v>
      </c>
      <c r="M66" s="2" t="s">
        <v>52</v>
      </c>
      <c r="N66" s="2">
        <v>505835</v>
      </c>
      <c r="O66" t="s">
        <v>53</v>
      </c>
      <c r="P66">
        <v>3378023754</v>
      </c>
      <c r="Q66" s="5">
        <v>46024.858437499999</v>
      </c>
      <c r="R66" s="2" t="s">
        <v>54</v>
      </c>
      <c r="S66" s="2" t="s">
        <v>51</v>
      </c>
      <c r="T66" s="2" t="s">
        <v>55</v>
      </c>
      <c r="U66" s="2" t="s">
        <v>59</v>
      </c>
      <c r="V66" s="2" t="s">
        <v>57</v>
      </c>
      <c r="W66" s="2" t="s">
        <v>58</v>
      </c>
      <c r="X66" s="2" t="s">
        <v>59</v>
      </c>
      <c r="Y66" s="1">
        <v>1461.96</v>
      </c>
      <c r="Z66" s="1">
        <v>1461.96</v>
      </c>
      <c r="AA66" s="1">
        <v>0</v>
      </c>
      <c r="AB66" s="1">
        <v>29.99</v>
      </c>
      <c r="AC66" s="1">
        <v>0</v>
      </c>
      <c r="AD66" s="1">
        <v>183.22192999999999</v>
      </c>
      <c r="AE66" s="1">
        <v>1491.95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25.584299999999999</v>
      </c>
      <c r="AP66" s="1">
        <v>3.5818020000000002</v>
      </c>
      <c r="AQ66" s="1">
        <v>1282.4210499999999</v>
      </c>
      <c r="AR66" s="1">
        <v>1282.4210499999999</v>
      </c>
      <c r="AS66" s="1">
        <v>320.60525999999999</v>
      </c>
      <c r="AT66" s="1">
        <v>44.884736400000001</v>
      </c>
      <c r="AU66" s="1">
        <v>31.99</v>
      </c>
      <c r="AV66" s="2" t="s">
        <v>60</v>
      </c>
      <c r="AW66" s="1">
        <v>1035.3140000000001</v>
      </c>
      <c r="AX66" s="1">
        <f>Table1[[#This Row],[Original Commissionable GMV]]-Table1[[#This Row],[Commission ]]-Table1[[#This Row],[Commission VAT]]-Table1[[#This Row],[FreeDeliveryFund]]</f>
        <v>884.94105359999992</v>
      </c>
      <c r="AY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M66" s="2"/>
    </row>
    <row r="67" spans="12:65" x14ac:dyDescent="0.25">
      <c r="L67" s="2">
        <v>504016</v>
      </c>
      <c r="M67" s="2" t="s">
        <v>52</v>
      </c>
      <c r="N67" s="2">
        <v>505837</v>
      </c>
      <c r="O67" t="s">
        <v>63</v>
      </c>
      <c r="P67">
        <v>3378058342</v>
      </c>
      <c r="Q67" s="5">
        <v>46024.869942129626</v>
      </c>
      <c r="R67" s="2" t="s">
        <v>54</v>
      </c>
      <c r="S67" s="2" t="s">
        <v>51</v>
      </c>
      <c r="T67" s="2" t="s">
        <v>55</v>
      </c>
      <c r="U67" s="2" t="s">
        <v>56</v>
      </c>
      <c r="V67" s="2" t="s">
        <v>57</v>
      </c>
      <c r="W67" s="2" t="s">
        <v>58</v>
      </c>
      <c r="X67" s="2" t="s">
        <v>59</v>
      </c>
      <c r="Y67" s="1">
        <v>658</v>
      </c>
      <c r="Z67" s="1">
        <v>658</v>
      </c>
      <c r="AA67" s="1">
        <v>0</v>
      </c>
      <c r="AB67" s="1">
        <v>29.99</v>
      </c>
      <c r="AC67" s="1">
        <v>0</v>
      </c>
      <c r="AD67" s="1">
        <v>84.49</v>
      </c>
      <c r="AE67" s="1">
        <v>687.99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11.515000000000001</v>
      </c>
      <c r="AP67" s="1">
        <v>1.6121000000000001</v>
      </c>
      <c r="AQ67" s="1">
        <v>577.19298000000003</v>
      </c>
      <c r="AR67" s="1">
        <v>577.19298000000003</v>
      </c>
      <c r="AS67" s="1">
        <v>144.29825</v>
      </c>
      <c r="AT67" s="1">
        <v>20.201754999999999</v>
      </c>
      <c r="AU67" s="1">
        <v>30.99</v>
      </c>
      <c r="AV67" s="2" t="s">
        <v>60</v>
      </c>
      <c r="AW67" s="1">
        <v>449.38299999999998</v>
      </c>
      <c r="AX67" s="1">
        <f>Table1[[#This Row],[Original Commissionable GMV]]-Table1[[#This Row],[Commission ]]-Table1[[#This Row],[Commission VAT]]-Table1[[#This Row],[FreeDeliveryFund]]</f>
        <v>381.70297500000004</v>
      </c>
      <c r="AY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M67" s="2"/>
    </row>
    <row r="68" spans="12:65" x14ac:dyDescent="0.25">
      <c r="L68" s="2">
        <v>504016</v>
      </c>
      <c r="M68" s="2" t="s">
        <v>52</v>
      </c>
      <c r="N68" s="2">
        <v>505837</v>
      </c>
      <c r="O68" t="s">
        <v>53</v>
      </c>
      <c r="P68">
        <v>3378070842</v>
      </c>
      <c r="Q68" s="5">
        <v>46024.874212962961</v>
      </c>
      <c r="R68" s="2" t="s">
        <v>54</v>
      </c>
      <c r="S68" s="2" t="s">
        <v>51</v>
      </c>
      <c r="T68" s="2" t="s">
        <v>55</v>
      </c>
      <c r="U68" s="2" t="s">
        <v>56</v>
      </c>
      <c r="V68" s="2" t="s">
        <v>57</v>
      </c>
      <c r="W68" s="2" t="s">
        <v>58</v>
      </c>
      <c r="X68" s="2" t="s">
        <v>59</v>
      </c>
      <c r="Y68" s="1">
        <v>889</v>
      </c>
      <c r="Z68" s="1">
        <v>889</v>
      </c>
      <c r="AA68" s="1">
        <v>0</v>
      </c>
      <c r="AB68" s="1">
        <v>29.99</v>
      </c>
      <c r="AC68" s="1">
        <v>0</v>
      </c>
      <c r="AD68" s="1">
        <v>112.85842</v>
      </c>
      <c r="AE68" s="1">
        <v>918.99</v>
      </c>
      <c r="AG68" s="1">
        <v>0</v>
      </c>
      <c r="AH68" s="1">
        <v>0</v>
      </c>
      <c r="AI68" s="1">
        <v>132.24</v>
      </c>
      <c r="AJ68" s="1">
        <v>0</v>
      </c>
      <c r="AK68" s="1">
        <v>132.24</v>
      </c>
      <c r="AL68" s="1">
        <v>0</v>
      </c>
      <c r="AM68" s="1">
        <v>0</v>
      </c>
      <c r="AN68" s="1">
        <v>0</v>
      </c>
      <c r="AO68" s="1">
        <v>15.557499999999999</v>
      </c>
      <c r="AP68" s="1">
        <v>2.1780499999999998</v>
      </c>
      <c r="AQ68" s="1">
        <v>779.82456000000002</v>
      </c>
      <c r="AR68" s="1">
        <v>779.82456000000002</v>
      </c>
      <c r="AS68" s="1">
        <v>194.95614</v>
      </c>
      <c r="AT68" s="1">
        <v>27.293859600000001</v>
      </c>
      <c r="AU68" s="1">
        <v>30.99</v>
      </c>
      <c r="AV68" s="2" t="s">
        <v>60</v>
      </c>
      <c r="AW68" s="1">
        <v>618.024</v>
      </c>
      <c r="AX68" s="1">
        <f>Table1[[#This Row],[Original Commissionable GMV]]-Table1[[#This Row],[Commission ]]-Table1[[#This Row],[Commission VAT]]-Table1[[#This Row],[FreeDeliveryFund]]</f>
        <v>526.58456039999999</v>
      </c>
      <c r="AY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M68" s="2"/>
    </row>
    <row r="69" spans="12:65" x14ac:dyDescent="0.25">
      <c r="L69" s="2">
        <v>504016</v>
      </c>
      <c r="M69" s="2" t="s">
        <v>52</v>
      </c>
      <c r="N69" s="2">
        <v>505839</v>
      </c>
      <c r="O69" t="s">
        <v>65</v>
      </c>
      <c r="P69">
        <v>3378171512</v>
      </c>
      <c r="Q69" s="5">
        <v>46024.910879629628</v>
      </c>
      <c r="R69" s="2" t="s">
        <v>62</v>
      </c>
      <c r="S69" s="2" t="s">
        <v>51</v>
      </c>
      <c r="T69" s="2" t="s">
        <v>55</v>
      </c>
      <c r="U69" s="2" t="s">
        <v>56</v>
      </c>
      <c r="V69" s="2" t="s">
        <v>57</v>
      </c>
      <c r="W69" s="2" t="s">
        <v>58</v>
      </c>
      <c r="X69" s="2" t="s">
        <v>59</v>
      </c>
      <c r="Y69" s="1">
        <v>788</v>
      </c>
      <c r="Z69" s="1">
        <v>788</v>
      </c>
      <c r="AA69" s="1">
        <v>0</v>
      </c>
      <c r="AB69" s="1">
        <v>29.99</v>
      </c>
      <c r="AC69" s="1">
        <v>0</v>
      </c>
      <c r="AD69" s="1">
        <v>100.45491</v>
      </c>
      <c r="AE69" s="1">
        <v>817.99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691.22807</v>
      </c>
      <c r="AR69" s="1">
        <v>691.22807</v>
      </c>
      <c r="AS69" s="1">
        <v>172.80701999999999</v>
      </c>
      <c r="AT69" s="1">
        <v>24.192982799999999</v>
      </c>
      <c r="AU69" s="1">
        <v>28.99</v>
      </c>
      <c r="AV69" s="2" t="s">
        <v>60</v>
      </c>
      <c r="AW69" s="1">
        <v>562.01</v>
      </c>
      <c r="AX69" s="1">
        <f>Table1[[#This Row],[Original Commissionable GMV]]-Table1[[#This Row],[Commission ]]-Table1[[#This Row],[Commission VAT]]-Table1[[#This Row],[FreeDeliveryFund]]</f>
        <v>465.23806720000005</v>
      </c>
      <c r="AY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M69" s="2"/>
    </row>
    <row r="70" spans="12:65" x14ac:dyDescent="0.25">
      <c r="L70" s="2">
        <v>504016</v>
      </c>
      <c r="M70" s="2" t="s">
        <v>52</v>
      </c>
      <c r="N70" s="2">
        <v>505837</v>
      </c>
      <c r="O70" t="s">
        <v>63</v>
      </c>
      <c r="P70">
        <v>3378249811</v>
      </c>
      <c r="Q70" s="5">
        <v>46024.943449074075</v>
      </c>
      <c r="R70" s="2" t="s">
        <v>66</v>
      </c>
      <c r="S70" s="2" t="s">
        <v>51</v>
      </c>
      <c r="T70" s="2" t="s">
        <v>55</v>
      </c>
      <c r="U70" s="2" t="s">
        <v>56</v>
      </c>
      <c r="V70" s="2" t="s">
        <v>57</v>
      </c>
      <c r="W70" s="2" t="s">
        <v>58</v>
      </c>
      <c r="X70" s="2" t="s">
        <v>59</v>
      </c>
      <c r="Y70" s="1">
        <v>818.58</v>
      </c>
      <c r="Z70" s="1">
        <v>818.58</v>
      </c>
      <c r="AA70" s="1">
        <v>0</v>
      </c>
      <c r="AB70" s="1">
        <v>29.99</v>
      </c>
      <c r="AC70" s="1">
        <v>0</v>
      </c>
      <c r="AD70" s="1">
        <v>104.21035000000001</v>
      </c>
      <c r="AE70" s="1">
        <v>848.57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14.325150000000001</v>
      </c>
      <c r="AP70" s="1">
        <v>2.0055209999999999</v>
      </c>
      <c r="AQ70" s="1">
        <v>718.05263000000002</v>
      </c>
      <c r="AR70" s="1">
        <v>718.05263000000002</v>
      </c>
      <c r="AS70" s="1">
        <v>179.51316</v>
      </c>
      <c r="AT70" s="1">
        <v>25.1318424</v>
      </c>
      <c r="AU70" s="1">
        <v>30.99</v>
      </c>
      <c r="AV70" s="2" t="s">
        <v>60</v>
      </c>
      <c r="AW70" s="1">
        <v>566.61400000000003</v>
      </c>
      <c r="AX70" s="1">
        <f>Table1[[#This Row],[Original Commissionable GMV]]-Table1[[#This Row],[Commission ]]-Table1[[#This Row],[Commission VAT]]-Table1[[#This Row],[FreeDeliveryFund]]</f>
        <v>482.41762760000006</v>
      </c>
      <c r="AY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M70" s="2"/>
    </row>
    <row r="71" spans="12:65" x14ac:dyDescent="0.25">
      <c r="L71" s="2">
        <v>504016</v>
      </c>
      <c r="M71" s="2" t="s">
        <v>52</v>
      </c>
      <c r="N71" s="2">
        <v>505839</v>
      </c>
      <c r="O71" t="s">
        <v>63</v>
      </c>
      <c r="P71">
        <v>3378272641</v>
      </c>
      <c r="Q71" s="5">
        <v>46024.953912037039</v>
      </c>
      <c r="R71" s="2" t="s">
        <v>62</v>
      </c>
      <c r="S71" s="2" t="s">
        <v>51</v>
      </c>
      <c r="T71" s="2" t="s">
        <v>55</v>
      </c>
      <c r="U71" s="2" t="s">
        <v>56</v>
      </c>
      <c r="V71" s="2" t="s">
        <v>57</v>
      </c>
      <c r="W71" s="2" t="s">
        <v>58</v>
      </c>
      <c r="X71" s="2" t="s">
        <v>59</v>
      </c>
      <c r="Y71" s="1">
        <v>179.99</v>
      </c>
      <c r="Z71" s="1">
        <v>179.99</v>
      </c>
      <c r="AA71" s="1">
        <v>7</v>
      </c>
      <c r="AB71" s="1">
        <v>9</v>
      </c>
      <c r="AC71" s="1">
        <v>0</v>
      </c>
      <c r="AD71" s="1">
        <v>24.068950000000001</v>
      </c>
      <c r="AE71" s="1">
        <v>195.99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157.88596000000001</v>
      </c>
      <c r="AR71" s="1">
        <v>157.88596000000001</v>
      </c>
      <c r="AS71" s="1">
        <v>39.471490000000003</v>
      </c>
      <c r="AT71" s="1">
        <v>5.5260085999999999</v>
      </c>
      <c r="AU71" s="1">
        <v>27.99</v>
      </c>
      <c r="AV71" s="2" t="s">
        <v>60</v>
      </c>
      <c r="AW71" s="1">
        <v>107.003</v>
      </c>
      <c r="AX71" s="1">
        <f>Table1[[#This Row],[Original Commissionable GMV]]-Table1[[#This Row],[Commission ]]-Table1[[#This Row],[Commission VAT]]-Table1[[#This Row],[FreeDeliveryFund]]</f>
        <v>84.898461400000016</v>
      </c>
      <c r="AY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M71" s="2"/>
    </row>
    <row r="72" spans="12:65" x14ac:dyDescent="0.25">
      <c r="L72" s="2">
        <v>504016</v>
      </c>
      <c r="M72" s="2" t="s">
        <v>52</v>
      </c>
      <c r="N72" s="2">
        <v>505839</v>
      </c>
      <c r="O72" t="s">
        <v>63</v>
      </c>
      <c r="P72">
        <v>3379099497</v>
      </c>
      <c r="Q72" s="5">
        <v>46025.614386574074</v>
      </c>
      <c r="R72" s="2" t="s">
        <v>54</v>
      </c>
      <c r="S72" s="2" t="s">
        <v>51</v>
      </c>
      <c r="T72" s="2" t="s">
        <v>55</v>
      </c>
      <c r="U72" s="2" t="s">
        <v>56</v>
      </c>
      <c r="V72" s="2" t="s">
        <v>57</v>
      </c>
      <c r="W72" s="2" t="s">
        <v>58</v>
      </c>
      <c r="X72" s="2" t="s">
        <v>59</v>
      </c>
      <c r="Y72" s="1">
        <v>519.98</v>
      </c>
      <c r="Z72" s="1">
        <v>519.98</v>
      </c>
      <c r="AA72" s="1">
        <v>0</v>
      </c>
      <c r="AB72" s="1">
        <v>26</v>
      </c>
      <c r="AC72" s="1">
        <v>0</v>
      </c>
      <c r="AD72" s="1">
        <v>67.050179999999997</v>
      </c>
      <c r="AE72" s="1">
        <v>545.98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9.0996500000000005</v>
      </c>
      <c r="AP72" s="1">
        <v>1.2739510000000001</v>
      </c>
      <c r="AQ72" s="1">
        <v>456.12281000000002</v>
      </c>
      <c r="AR72" s="1">
        <v>456.12281000000002</v>
      </c>
      <c r="AS72" s="1">
        <v>114.0307</v>
      </c>
      <c r="AT72" s="1">
        <v>15.964297999999999</v>
      </c>
      <c r="AU72" s="1">
        <v>29.99</v>
      </c>
      <c r="AV72" s="2" t="s">
        <v>60</v>
      </c>
      <c r="AW72" s="1">
        <v>349.62099999999998</v>
      </c>
      <c r="AX72" s="1">
        <f>Table1[[#This Row],[Original Commissionable GMV]]-Table1[[#This Row],[Commission ]]-Table1[[#This Row],[Commission VAT]]-Table1[[#This Row],[FreeDeliveryFund]]</f>
        <v>296.13781200000005</v>
      </c>
      <c r="AY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M72" s="2"/>
    </row>
    <row r="73" spans="12:65" x14ac:dyDescent="0.25">
      <c r="L73" s="2">
        <v>504016</v>
      </c>
      <c r="M73" s="2" t="s">
        <v>52</v>
      </c>
      <c r="N73" s="2">
        <v>505837</v>
      </c>
      <c r="O73" t="s">
        <v>63</v>
      </c>
      <c r="P73">
        <v>3379155517</v>
      </c>
      <c r="Q73" s="5">
        <v>46025.635578703703</v>
      </c>
      <c r="R73" s="2" t="s">
        <v>54</v>
      </c>
      <c r="S73" s="2" t="s">
        <v>51</v>
      </c>
      <c r="T73" s="2" t="s">
        <v>55</v>
      </c>
      <c r="U73" s="2" t="s">
        <v>59</v>
      </c>
      <c r="V73" s="2" t="s">
        <v>57</v>
      </c>
      <c r="W73" s="2" t="s">
        <v>58</v>
      </c>
      <c r="X73" s="2" t="s">
        <v>59</v>
      </c>
      <c r="Y73" s="1">
        <v>686.98</v>
      </c>
      <c r="Z73" s="1">
        <v>686.98</v>
      </c>
      <c r="AA73" s="1">
        <v>0</v>
      </c>
      <c r="AB73" s="1">
        <v>29.99</v>
      </c>
      <c r="AC73" s="1">
        <v>0</v>
      </c>
      <c r="AD73" s="1">
        <v>88.048950000000005</v>
      </c>
      <c r="AE73" s="1">
        <v>716.97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12.02215</v>
      </c>
      <c r="AP73" s="1">
        <v>1.683101</v>
      </c>
      <c r="AQ73" s="1">
        <v>602.61404000000005</v>
      </c>
      <c r="AR73" s="1">
        <v>602.61404000000005</v>
      </c>
      <c r="AS73" s="1">
        <v>150.65351000000001</v>
      </c>
      <c r="AT73" s="1">
        <v>21.091491399999999</v>
      </c>
      <c r="AU73" s="1">
        <v>29.99</v>
      </c>
      <c r="AV73" s="2" t="s">
        <v>60</v>
      </c>
      <c r="AW73" s="1">
        <v>471.54</v>
      </c>
      <c r="AX73" s="1">
        <f>Table1[[#This Row],[Original Commissionable GMV]]-Table1[[#This Row],[Commission ]]-Table1[[#This Row],[Commission VAT]]-Table1[[#This Row],[FreeDeliveryFund]]</f>
        <v>400.87903860000006</v>
      </c>
      <c r="AY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M73" s="2"/>
    </row>
    <row r="74" spans="12:65" x14ac:dyDescent="0.25">
      <c r="L74" s="2">
        <v>504016</v>
      </c>
      <c r="M74" s="2" t="s">
        <v>52</v>
      </c>
      <c r="N74" s="2">
        <v>505839</v>
      </c>
      <c r="O74" t="s">
        <v>65</v>
      </c>
      <c r="P74">
        <v>3379244873</v>
      </c>
      <c r="Q74" s="5">
        <v>46025.668368055558</v>
      </c>
      <c r="R74" s="2" t="s">
        <v>62</v>
      </c>
      <c r="S74" s="2" t="s">
        <v>51</v>
      </c>
      <c r="T74" s="2" t="s">
        <v>55</v>
      </c>
      <c r="U74" s="2" t="s">
        <v>56</v>
      </c>
      <c r="V74" s="2" t="s">
        <v>57</v>
      </c>
      <c r="W74" s="2" t="s">
        <v>58</v>
      </c>
      <c r="X74" s="2" t="s">
        <v>59</v>
      </c>
      <c r="Y74" s="1">
        <v>426.82</v>
      </c>
      <c r="Z74" s="1">
        <v>426.82</v>
      </c>
      <c r="AA74" s="1">
        <v>0</v>
      </c>
      <c r="AB74" s="1">
        <v>21.34</v>
      </c>
      <c r="AC74" s="1">
        <v>0</v>
      </c>
      <c r="AD74" s="1">
        <v>55.037190000000002</v>
      </c>
      <c r="AE74" s="1">
        <v>448.16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374.40350999999998</v>
      </c>
      <c r="AR74" s="1">
        <v>374.40350999999998</v>
      </c>
      <c r="AS74" s="1">
        <v>93.600880000000004</v>
      </c>
      <c r="AT74" s="1">
        <v>13.1041232</v>
      </c>
      <c r="AU74" s="1">
        <v>30.99</v>
      </c>
      <c r="AV74" s="2" t="s">
        <v>60</v>
      </c>
      <c r="AW74" s="1">
        <v>289.125</v>
      </c>
      <c r="AX74" s="1">
        <f>Table1[[#This Row],[Original Commissionable GMV]]-Table1[[#This Row],[Commission ]]-Table1[[#This Row],[Commission VAT]]-Table1[[#This Row],[FreeDeliveryFund]]</f>
        <v>236.70850679999995</v>
      </c>
      <c r="AY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M74" s="2"/>
    </row>
    <row r="75" spans="12:65" x14ac:dyDescent="0.25">
      <c r="L75" s="2">
        <v>504016</v>
      </c>
      <c r="M75" s="2" t="s">
        <v>52</v>
      </c>
      <c r="N75" s="2">
        <v>505839</v>
      </c>
      <c r="O75" t="s">
        <v>53</v>
      </c>
      <c r="P75">
        <v>3379248985</v>
      </c>
      <c r="Q75" s="5">
        <v>46025.66983796296</v>
      </c>
      <c r="R75" s="2" t="s">
        <v>54</v>
      </c>
      <c r="S75" s="2" t="s">
        <v>51</v>
      </c>
      <c r="T75" s="2" t="s">
        <v>55</v>
      </c>
      <c r="U75" s="2" t="s">
        <v>56</v>
      </c>
      <c r="V75" s="2" t="s">
        <v>57</v>
      </c>
      <c r="W75" s="2" t="s">
        <v>58</v>
      </c>
      <c r="X75" s="2" t="s">
        <v>59</v>
      </c>
      <c r="Y75" s="1">
        <v>897.97</v>
      </c>
      <c r="Z75" s="1">
        <v>897.97</v>
      </c>
      <c r="AA75" s="1">
        <v>0</v>
      </c>
      <c r="AB75" s="1">
        <v>29.99</v>
      </c>
      <c r="AC75" s="1">
        <v>0</v>
      </c>
      <c r="AD75" s="1">
        <v>113.96</v>
      </c>
      <c r="AE75" s="1">
        <v>927.96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15.714475</v>
      </c>
      <c r="AP75" s="1">
        <v>2.2000264999999999</v>
      </c>
      <c r="AQ75" s="1">
        <v>787.69298000000003</v>
      </c>
      <c r="AR75" s="1">
        <v>787.69298000000003</v>
      </c>
      <c r="AS75" s="1">
        <v>196.92325</v>
      </c>
      <c r="AT75" s="1">
        <v>27.569254999999998</v>
      </c>
      <c r="AU75" s="1">
        <v>33.99</v>
      </c>
      <c r="AV75" s="2" t="s">
        <v>60</v>
      </c>
      <c r="AW75" s="1">
        <v>621.57299999999998</v>
      </c>
      <c r="AX75" s="1">
        <f>Table1[[#This Row],[Original Commissionable GMV]]-Table1[[#This Row],[Commission ]]-Table1[[#This Row],[Commission VAT]]-Table1[[#This Row],[FreeDeliveryFund]]</f>
        <v>529.21047499999997</v>
      </c>
      <c r="AY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M75" s="2"/>
    </row>
    <row r="76" spans="12:65" x14ac:dyDescent="0.25">
      <c r="L76" s="2">
        <v>504016</v>
      </c>
      <c r="M76" s="2" t="s">
        <v>52</v>
      </c>
      <c r="N76" s="2">
        <v>505839</v>
      </c>
      <c r="O76" t="s">
        <v>63</v>
      </c>
      <c r="P76">
        <v>3379251739</v>
      </c>
      <c r="Q76" s="5">
        <v>46025.67087962963</v>
      </c>
      <c r="R76" s="2" t="s">
        <v>54</v>
      </c>
      <c r="S76" s="2" t="s">
        <v>51</v>
      </c>
      <c r="T76" s="2" t="s">
        <v>55</v>
      </c>
      <c r="U76" s="2" t="s">
        <v>56</v>
      </c>
      <c r="V76" s="2" t="s">
        <v>57</v>
      </c>
      <c r="W76" s="2" t="s">
        <v>58</v>
      </c>
      <c r="X76" s="2" t="s">
        <v>59</v>
      </c>
      <c r="Y76" s="1">
        <v>844</v>
      </c>
      <c r="Z76" s="1">
        <v>844</v>
      </c>
      <c r="AA76" s="1">
        <v>30.99</v>
      </c>
      <c r="AB76" s="1">
        <v>29.99</v>
      </c>
      <c r="AC76" s="1">
        <v>0</v>
      </c>
      <c r="AD76" s="1">
        <v>111.13789</v>
      </c>
      <c r="AE76" s="1">
        <v>904.98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30</v>
      </c>
      <c r="AN76" s="1">
        <v>4.2</v>
      </c>
      <c r="AO76" s="1">
        <v>14.77</v>
      </c>
      <c r="AP76" s="1">
        <v>2.0678000000000001</v>
      </c>
      <c r="AQ76" s="1">
        <v>740.35087999999996</v>
      </c>
      <c r="AR76" s="1">
        <v>740.35087999999996</v>
      </c>
      <c r="AS76" s="1">
        <v>185.08771999999999</v>
      </c>
      <c r="AT76" s="1">
        <v>25.912280800000001</v>
      </c>
      <c r="AU76" s="1">
        <v>0</v>
      </c>
      <c r="AV76" s="2" t="s">
        <v>69</v>
      </c>
      <c r="AW76" s="1">
        <v>581.96199999999999</v>
      </c>
      <c r="AX76" s="1">
        <f>Table1[[#This Row],[Original Commissionable GMV]]-Table1[[#This Row],[Commission ]]-Table1[[#This Row],[Commission VAT]]-Table1[[#This Row],[FreeDeliveryFund]]</f>
        <v>529.35087920000001</v>
      </c>
      <c r="AY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M76" s="2"/>
    </row>
    <row r="77" spans="12:65" x14ac:dyDescent="0.25">
      <c r="L77" s="2">
        <v>504016</v>
      </c>
      <c r="M77" s="2" t="s">
        <v>52</v>
      </c>
      <c r="N77" s="2">
        <v>505837</v>
      </c>
      <c r="O77" t="s">
        <v>63</v>
      </c>
      <c r="P77">
        <v>3379300397</v>
      </c>
      <c r="Q77" s="5">
        <v>46025.687581018516</v>
      </c>
      <c r="R77" s="2" t="s">
        <v>62</v>
      </c>
      <c r="S77" s="2" t="s">
        <v>51</v>
      </c>
      <c r="T77" s="2" t="s">
        <v>55</v>
      </c>
      <c r="U77" s="2" t="s">
        <v>56</v>
      </c>
      <c r="V77" s="2" t="s">
        <v>57</v>
      </c>
      <c r="W77" s="2" t="s">
        <v>58</v>
      </c>
      <c r="X77" s="2" t="s">
        <v>59</v>
      </c>
      <c r="Y77" s="1">
        <v>844</v>
      </c>
      <c r="Z77" s="1">
        <v>844</v>
      </c>
      <c r="AA77" s="1">
        <v>27.99</v>
      </c>
      <c r="AB77" s="1">
        <v>29.99</v>
      </c>
      <c r="AC77" s="1">
        <v>0</v>
      </c>
      <c r="AD77" s="1">
        <v>110.76947</v>
      </c>
      <c r="AE77" s="1">
        <v>901.98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740.35087999999996</v>
      </c>
      <c r="AR77" s="1">
        <v>740.35087999999996</v>
      </c>
      <c r="AS77" s="1">
        <v>185.08771999999999</v>
      </c>
      <c r="AT77" s="1">
        <v>25.912280800000001</v>
      </c>
      <c r="AU77" s="1">
        <v>0</v>
      </c>
      <c r="AV77" s="2" t="s">
        <v>69</v>
      </c>
      <c r="AW77" s="1">
        <v>633</v>
      </c>
      <c r="AX77" s="1">
        <f>Table1[[#This Row],[Original Commissionable GMV]]-Table1[[#This Row],[Commission ]]-Table1[[#This Row],[Commission VAT]]-Table1[[#This Row],[FreeDeliveryFund]]</f>
        <v>529.35087920000001</v>
      </c>
      <c r="AY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M77" s="2"/>
    </row>
    <row r="78" spans="12:65" x14ac:dyDescent="0.25">
      <c r="L78" s="2">
        <v>504016</v>
      </c>
      <c r="M78" s="2" t="s">
        <v>52</v>
      </c>
      <c r="N78" s="2">
        <v>505837</v>
      </c>
      <c r="O78" t="s">
        <v>53</v>
      </c>
      <c r="P78">
        <v>3379359308</v>
      </c>
      <c r="Q78" s="5">
        <v>46025.706909722219</v>
      </c>
      <c r="R78" s="2" t="s">
        <v>54</v>
      </c>
      <c r="S78" s="2" t="s">
        <v>51</v>
      </c>
      <c r="T78" s="2" t="s">
        <v>55</v>
      </c>
      <c r="U78" s="2" t="s">
        <v>59</v>
      </c>
      <c r="V78" s="2" t="s">
        <v>57</v>
      </c>
      <c r="W78" s="2" t="s">
        <v>58</v>
      </c>
      <c r="X78" s="2" t="s">
        <v>59</v>
      </c>
      <c r="Y78" s="1">
        <v>639.99</v>
      </c>
      <c r="Z78" s="1">
        <v>639.99</v>
      </c>
      <c r="AA78" s="1">
        <v>0</v>
      </c>
      <c r="AB78" s="1">
        <v>29.99</v>
      </c>
      <c r="AC78" s="1">
        <v>0</v>
      </c>
      <c r="AD78" s="1">
        <v>82.27825</v>
      </c>
      <c r="AE78" s="1">
        <v>669.98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11.199825000000001</v>
      </c>
      <c r="AP78" s="1">
        <v>1.5679755</v>
      </c>
      <c r="AQ78" s="1">
        <v>561.39473999999996</v>
      </c>
      <c r="AR78" s="1">
        <v>561.39473999999996</v>
      </c>
      <c r="AS78" s="1">
        <v>140.34869</v>
      </c>
      <c r="AT78" s="1">
        <v>19.6488166</v>
      </c>
      <c r="AU78" s="1">
        <v>32.99</v>
      </c>
      <c r="AV78" s="2" t="s">
        <v>60</v>
      </c>
      <c r="AW78" s="1">
        <v>434.23500000000001</v>
      </c>
      <c r="AX78" s="1">
        <f>Table1[[#This Row],[Original Commissionable GMV]]-Table1[[#This Row],[Commission ]]-Table1[[#This Row],[Commission VAT]]-Table1[[#This Row],[FreeDeliveryFund]]</f>
        <v>368.40723339999994</v>
      </c>
      <c r="AY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M78" s="2"/>
    </row>
    <row r="79" spans="12:65" x14ac:dyDescent="0.25">
      <c r="L79" s="2">
        <v>504016</v>
      </c>
      <c r="M79" s="2" t="s">
        <v>52</v>
      </c>
      <c r="N79" s="2">
        <v>505839</v>
      </c>
      <c r="O79" t="s">
        <v>63</v>
      </c>
      <c r="P79">
        <v>3379385769</v>
      </c>
      <c r="Q79" s="5">
        <v>46025.715428240743</v>
      </c>
      <c r="R79" s="2" t="s">
        <v>54</v>
      </c>
      <c r="S79" s="2" t="s">
        <v>51</v>
      </c>
      <c r="T79" s="2" t="s">
        <v>55</v>
      </c>
      <c r="U79" s="2" t="s">
        <v>59</v>
      </c>
      <c r="V79" s="2" t="s">
        <v>57</v>
      </c>
      <c r="W79" s="2" t="s">
        <v>58</v>
      </c>
      <c r="X79" s="2" t="s">
        <v>59</v>
      </c>
      <c r="Y79" s="1">
        <v>591.98</v>
      </c>
      <c r="Z79" s="1">
        <v>591.98</v>
      </c>
      <c r="AA79" s="1">
        <v>0</v>
      </c>
      <c r="AB79" s="1">
        <v>29.6</v>
      </c>
      <c r="AC79" s="1">
        <v>0</v>
      </c>
      <c r="AD79" s="1">
        <v>76.334389999999999</v>
      </c>
      <c r="AE79" s="1">
        <v>621.58000000000004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10.35965</v>
      </c>
      <c r="AP79" s="1">
        <v>1.4503509999999999</v>
      </c>
      <c r="AQ79" s="1">
        <v>519.28070000000002</v>
      </c>
      <c r="AR79" s="1">
        <v>519.28070000000002</v>
      </c>
      <c r="AS79" s="1">
        <v>129.82017999999999</v>
      </c>
      <c r="AT79" s="1">
        <v>18.174825200000001</v>
      </c>
      <c r="AU79" s="1">
        <v>29.99</v>
      </c>
      <c r="AV79" s="2" t="s">
        <v>60</v>
      </c>
      <c r="AW79" s="1">
        <v>402.185</v>
      </c>
      <c r="AX79" s="1">
        <f>Table1[[#This Row],[Original Commissionable GMV]]-Table1[[#This Row],[Commission ]]-Table1[[#This Row],[Commission VAT]]-Table1[[#This Row],[FreeDeliveryFund]]</f>
        <v>341.29569480000004</v>
      </c>
      <c r="AY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M79" s="2"/>
    </row>
    <row r="80" spans="12:65" x14ac:dyDescent="0.25">
      <c r="L80" s="2">
        <v>504016</v>
      </c>
      <c r="M80" s="2" t="s">
        <v>52</v>
      </c>
      <c r="N80" s="2">
        <v>505837</v>
      </c>
      <c r="O80" t="s">
        <v>63</v>
      </c>
      <c r="P80">
        <v>3379410030</v>
      </c>
      <c r="Q80" s="5">
        <v>46025.723090277781</v>
      </c>
      <c r="R80" s="2" t="s">
        <v>54</v>
      </c>
      <c r="S80" s="2" t="s">
        <v>51</v>
      </c>
      <c r="T80" s="2" t="s">
        <v>55</v>
      </c>
      <c r="U80" s="2" t="s">
        <v>56</v>
      </c>
      <c r="V80" s="2" t="s">
        <v>57</v>
      </c>
      <c r="W80" s="2" t="s">
        <v>58</v>
      </c>
      <c r="X80" s="2" t="s">
        <v>59</v>
      </c>
      <c r="Y80" s="1">
        <v>1046.96</v>
      </c>
      <c r="Z80" s="1">
        <v>1046.96</v>
      </c>
      <c r="AA80" s="1">
        <v>0</v>
      </c>
      <c r="AB80" s="1">
        <v>29.99</v>
      </c>
      <c r="AC80" s="1">
        <v>0</v>
      </c>
      <c r="AD80" s="1">
        <v>124.8886</v>
      </c>
      <c r="AE80" s="1">
        <v>1016.95</v>
      </c>
      <c r="AG80" s="1">
        <v>0</v>
      </c>
      <c r="AH80" s="1">
        <v>60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18.3218</v>
      </c>
      <c r="AP80" s="1">
        <v>2.5650520000000001</v>
      </c>
      <c r="AQ80" s="1">
        <v>918.38595999999995</v>
      </c>
      <c r="AR80" s="1">
        <v>918.38595999999995</v>
      </c>
      <c r="AS80" s="1">
        <v>229.59648999999999</v>
      </c>
      <c r="AT80" s="1">
        <v>32.143508599999997</v>
      </c>
      <c r="AU80" s="1">
        <v>29.99</v>
      </c>
      <c r="AV80" s="2" t="s">
        <v>60</v>
      </c>
      <c r="AW80" s="1">
        <v>734.34299999999996</v>
      </c>
      <c r="AX80" s="1">
        <f>Table1[[#This Row],[Original Commissionable GMV]]-Table1[[#This Row],[Commission ]]-Table1[[#This Row],[Commission VAT]]-Table1[[#This Row],[FreeDeliveryFund]]</f>
        <v>626.65596139999991</v>
      </c>
      <c r="AY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M80" s="2"/>
    </row>
    <row r="81" spans="12:65" x14ac:dyDescent="0.25">
      <c r="L81" s="2">
        <v>504016</v>
      </c>
      <c r="M81" s="2" t="s">
        <v>52</v>
      </c>
      <c r="N81" s="2">
        <v>505837</v>
      </c>
      <c r="O81" t="s">
        <v>63</v>
      </c>
      <c r="P81">
        <v>3379465210</v>
      </c>
      <c r="Q81" s="5">
        <v>46025.739965277775</v>
      </c>
      <c r="R81" s="2" t="s">
        <v>54</v>
      </c>
      <c r="S81" s="2" t="s">
        <v>51</v>
      </c>
      <c r="T81" s="2" t="s">
        <v>55</v>
      </c>
      <c r="U81" s="2" t="s">
        <v>56</v>
      </c>
      <c r="V81" s="2" t="s">
        <v>57</v>
      </c>
      <c r="W81" s="2" t="s">
        <v>58</v>
      </c>
      <c r="X81" s="2" t="s">
        <v>59</v>
      </c>
      <c r="Y81" s="1">
        <v>253.99</v>
      </c>
      <c r="Z81" s="1">
        <v>253.99</v>
      </c>
      <c r="AA81" s="1">
        <v>0</v>
      </c>
      <c r="AB81" s="1">
        <v>12.7</v>
      </c>
      <c r="AC81" s="1">
        <v>0</v>
      </c>
      <c r="AD81" s="1">
        <v>32.751399999999997</v>
      </c>
      <c r="AE81" s="1">
        <v>266.69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4.4448249999999998</v>
      </c>
      <c r="AP81" s="1">
        <v>0.62227549999999998</v>
      </c>
      <c r="AQ81" s="1">
        <v>222.79825</v>
      </c>
      <c r="AR81" s="1">
        <v>222.79825</v>
      </c>
      <c r="AS81" s="1">
        <v>55.699559999999998</v>
      </c>
      <c r="AT81" s="1">
        <v>7.7979383999999996</v>
      </c>
      <c r="AU81" s="1">
        <v>26.99</v>
      </c>
      <c r="AV81" s="2" t="s">
        <v>60</v>
      </c>
      <c r="AW81" s="1">
        <v>158.435</v>
      </c>
      <c r="AX81" s="1">
        <f>Table1[[#This Row],[Original Commissionable GMV]]-Table1[[#This Row],[Commission ]]-Table1[[#This Row],[Commission VAT]]-Table1[[#This Row],[FreeDeliveryFund]]</f>
        <v>132.3107516</v>
      </c>
      <c r="AY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M81" s="2"/>
    </row>
    <row r="82" spans="12:65" x14ac:dyDescent="0.25">
      <c r="L82" s="2">
        <v>504016</v>
      </c>
      <c r="M82" s="2" t="s">
        <v>52</v>
      </c>
      <c r="N82" s="2">
        <v>505839</v>
      </c>
      <c r="O82" t="s">
        <v>63</v>
      </c>
      <c r="P82">
        <v>3379500375</v>
      </c>
      <c r="Q82" s="5">
        <v>46025.750567129631</v>
      </c>
      <c r="R82" s="2" t="s">
        <v>54</v>
      </c>
      <c r="S82" s="2" t="s">
        <v>51</v>
      </c>
      <c r="T82" s="2" t="s">
        <v>55</v>
      </c>
      <c r="U82" s="2" t="s">
        <v>56</v>
      </c>
      <c r="V82" s="2" t="s">
        <v>57</v>
      </c>
      <c r="W82" s="2" t="s">
        <v>58</v>
      </c>
      <c r="X82" s="2" t="s">
        <v>59</v>
      </c>
      <c r="Y82" s="1">
        <v>335.98</v>
      </c>
      <c r="Z82" s="1">
        <v>335.98</v>
      </c>
      <c r="AA82" s="1">
        <v>0</v>
      </c>
      <c r="AB82" s="1">
        <v>16.8</v>
      </c>
      <c r="AC82" s="1">
        <v>0</v>
      </c>
      <c r="AD82" s="1">
        <v>43.323860000000003</v>
      </c>
      <c r="AE82" s="1">
        <v>352.78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5.8796499999999998</v>
      </c>
      <c r="AP82" s="1">
        <v>0.82315099999999997</v>
      </c>
      <c r="AQ82" s="1">
        <v>294.71929999999998</v>
      </c>
      <c r="AR82" s="1">
        <v>294.71929999999998</v>
      </c>
      <c r="AS82" s="1">
        <v>73.679829999999995</v>
      </c>
      <c r="AT82" s="1">
        <v>10.3151762</v>
      </c>
      <c r="AU82" s="1">
        <v>26.99</v>
      </c>
      <c r="AV82" s="2" t="s">
        <v>60</v>
      </c>
      <c r="AW82" s="1">
        <v>218.292</v>
      </c>
      <c r="AX82" s="1">
        <f>Table1[[#This Row],[Original Commissionable GMV]]-Table1[[#This Row],[Commission ]]-Table1[[#This Row],[Commission VAT]]-Table1[[#This Row],[FreeDeliveryFund]]</f>
        <v>183.73429379999999</v>
      </c>
      <c r="AY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M82" s="2"/>
    </row>
    <row r="83" spans="12:65" x14ac:dyDescent="0.25">
      <c r="L83" s="2">
        <v>504016</v>
      </c>
      <c r="M83" s="2" t="s">
        <v>52</v>
      </c>
      <c r="N83" s="2">
        <v>505839</v>
      </c>
      <c r="O83" t="s">
        <v>63</v>
      </c>
      <c r="P83">
        <v>3379515518</v>
      </c>
      <c r="Q83" s="5">
        <v>46025.754965277774</v>
      </c>
      <c r="R83" s="2" t="s">
        <v>54</v>
      </c>
      <c r="S83" s="2" t="s">
        <v>51</v>
      </c>
      <c r="T83" s="2" t="s">
        <v>55</v>
      </c>
      <c r="U83" s="2" t="s">
        <v>56</v>
      </c>
      <c r="V83" s="2" t="s">
        <v>57</v>
      </c>
      <c r="W83" s="2" t="s">
        <v>58</v>
      </c>
      <c r="X83" s="2" t="s">
        <v>59</v>
      </c>
      <c r="Y83" s="1">
        <v>2334.37</v>
      </c>
      <c r="Z83" s="1">
        <v>2334.37</v>
      </c>
      <c r="AA83" s="1">
        <v>35.99</v>
      </c>
      <c r="AB83" s="1">
        <v>29.99</v>
      </c>
      <c r="AC83" s="1">
        <v>0</v>
      </c>
      <c r="AD83" s="1">
        <v>294.77981999999997</v>
      </c>
      <c r="AE83" s="1">
        <v>2400.35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40.851476750000003</v>
      </c>
      <c r="AP83" s="1">
        <v>5.7192067450000001</v>
      </c>
      <c r="AQ83" s="1">
        <v>2047.69298</v>
      </c>
      <c r="AR83" s="1">
        <v>2047.69298</v>
      </c>
      <c r="AS83" s="1">
        <v>511.92325</v>
      </c>
      <c r="AT83" s="1">
        <v>71.669255000000007</v>
      </c>
      <c r="AU83" s="1">
        <v>0</v>
      </c>
      <c r="AV83" s="2" t="s">
        <v>69</v>
      </c>
      <c r="AW83" s="1">
        <v>1704.2070000000001</v>
      </c>
      <c r="AX83" s="1">
        <f>Table1[[#This Row],[Original Commissionable GMV]]-Table1[[#This Row],[Commission ]]-Table1[[#This Row],[Commission VAT]]-Table1[[#This Row],[FreeDeliveryFund]]</f>
        <v>1464.100475</v>
      </c>
      <c r="AY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M83" s="2"/>
    </row>
    <row r="84" spans="12:65" x14ac:dyDescent="0.25">
      <c r="L84" s="2">
        <v>504016</v>
      </c>
      <c r="M84" s="2" t="s">
        <v>52</v>
      </c>
      <c r="N84" s="2">
        <v>505837</v>
      </c>
      <c r="O84" t="s">
        <v>63</v>
      </c>
      <c r="P84">
        <v>3379561101</v>
      </c>
      <c r="Q84" s="5">
        <v>46025.768252314818</v>
      </c>
      <c r="R84" s="2" t="s">
        <v>54</v>
      </c>
      <c r="S84" s="2" t="s">
        <v>51</v>
      </c>
      <c r="T84" s="2" t="s">
        <v>55</v>
      </c>
      <c r="U84" s="2" t="s">
        <v>59</v>
      </c>
      <c r="V84" s="2" t="s">
        <v>57</v>
      </c>
      <c r="W84" s="2" t="s">
        <v>58</v>
      </c>
      <c r="X84" s="2" t="s">
        <v>59</v>
      </c>
      <c r="Y84" s="1">
        <v>362.99</v>
      </c>
      <c r="Z84" s="1">
        <v>362.99</v>
      </c>
      <c r="AA84" s="1">
        <v>0</v>
      </c>
      <c r="AB84" s="1">
        <v>18.149999999999999</v>
      </c>
      <c r="AC84" s="1">
        <v>0</v>
      </c>
      <c r="AD84" s="1">
        <v>46.806669999999997</v>
      </c>
      <c r="AE84" s="1">
        <v>381.14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6.3523250000000004</v>
      </c>
      <c r="AP84" s="1">
        <v>0.88932549999999999</v>
      </c>
      <c r="AQ84" s="1">
        <v>318.41228000000001</v>
      </c>
      <c r="AR84" s="1">
        <v>318.41228000000001</v>
      </c>
      <c r="AS84" s="1">
        <v>79.603070000000002</v>
      </c>
      <c r="AT84" s="1">
        <v>11.144429799999999</v>
      </c>
      <c r="AU84" s="1">
        <v>27.99</v>
      </c>
      <c r="AV84" s="2" t="s">
        <v>60</v>
      </c>
      <c r="AW84" s="1">
        <v>237.011</v>
      </c>
      <c r="AX84" s="1">
        <f>Table1[[#This Row],[Original Commissionable GMV]]-Table1[[#This Row],[Commission ]]-Table1[[#This Row],[Commission VAT]]-Table1[[#This Row],[FreeDeliveryFund]]</f>
        <v>199.67478019999999</v>
      </c>
      <c r="AY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M84" s="2"/>
    </row>
    <row r="85" spans="12:65" x14ac:dyDescent="0.25">
      <c r="L85" s="2">
        <v>504016</v>
      </c>
      <c r="M85" s="2" t="s">
        <v>52</v>
      </c>
      <c r="N85" s="2">
        <v>505839</v>
      </c>
      <c r="O85" t="s">
        <v>63</v>
      </c>
      <c r="P85">
        <v>3379578073</v>
      </c>
      <c r="Q85" s="5">
        <v>46025.773321759261</v>
      </c>
      <c r="R85" s="2" t="s">
        <v>54</v>
      </c>
      <c r="S85" s="2" t="s">
        <v>51</v>
      </c>
      <c r="T85" s="2" t="s">
        <v>55</v>
      </c>
      <c r="U85" s="2" t="s">
        <v>56</v>
      </c>
      <c r="V85" s="2" t="s">
        <v>57</v>
      </c>
      <c r="W85" s="2" t="s">
        <v>58</v>
      </c>
      <c r="X85" s="2" t="s">
        <v>59</v>
      </c>
      <c r="Y85" s="1">
        <v>471.95</v>
      </c>
      <c r="Z85" s="1">
        <v>471.95</v>
      </c>
      <c r="AA85" s="1">
        <v>0</v>
      </c>
      <c r="AB85" s="1">
        <v>23.6</v>
      </c>
      <c r="AC85" s="1">
        <v>0</v>
      </c>
      <c r="AD85" s="1">
        <v>60.857019999999999</v>
      </c>
      <c r="AE85" s="1">
        <v>495.55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8.2591249999999992</v>
      </c>
      <c r="AP85" s="1">
        <v>1.1562775000000001</v>
      </c>
      <c r="AQ85" s="1">
        <v>413.99122999999997</v>
      </c>
      <c r="AR85" s="1">
        <v>413.99122999999997</v>
      </c>
      <c r="AS85" s="1">
        <v>103.49781</v>
      </c>
      <c r="AT85" s="1">
        <v>14.4896934</v>
      </c>
      <c r="AU85" s="1">
        <v>28.99</v>
      </c>
      <c r="AV85" s="2" t="s">
        <v>60</v>
      </c>
      <c r="AW85" s="1">
        <v>315.55700000000002</v>
      </c>
      <c r="AX85" s="1">
        <f>Table1[[#This Row],[Original Commissionable GMV]]-Table1[[#This Row],[Commission ]]-Table1[[#This Row],[Commission VAT]]-Table1[[#This Row],[FreeDeliveryFund]]</f>
        <v>267.01372659999993</v>
      </c>
      <c r="AY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M85" s="2"/>
    </row>
    <row r="86" spans="12:65" x14ac:dyDescent="0.25">
      <c r="L86" s="2">
        <v>504016</v>
      </c>
      <c r="M86" s="2" t="s">
        <v>52</v>
      </c>
      <c r="N86" s="2">
        <v>505837</v>
      </c>
      <c r="O86" t="s">
        <v>53</v>
      </c>
      <c r="P86">
        <v>3379602560</v>
      </c>
      <c r="Q86" s="5">
        <v>46025.78052083333</v>
      </c>
      <c r="R86" s="2" t="s">
        <v>66</v>
      </c>
      <c r="S86" s="2" t="s">
        <v>61</v>
      </c>
      <c r="T86" s="2" t="s">
        <v>55</v>
      </c>
      <c r="U86" s="2" t="s">
        <v>56</v>
      </c>
      <c r="V86" s="2" t="s">
        <v>57</v>
      </c>
      <c r="W86" s="2" t="s">
        <v>58</v>
      </c>
      <c r="X86" s="2" t="s">
        <v>59</v>
      </c>
      <c r="Y86" s="1">
        <v>453.99</v>
      </c>
      <c r="Z86" s="1">
        <v>453.99</v>
      </c>
      <c r="AA86" s="1">
        <v>33.99</v>
      </c>
      <c r="AB86" s="1">
        <v>22.7</v>
      </c>
      <c r="AC86" s="1">
        <v>0</v>
      </c>
      <c r="AD86" s="1">
        <v>57.188769999999998</v>
      </c>
      <c r="AE86" s="1">
        <v>465.68</v>
      </c>
      <c r="AG86" s="1">
        <v>0</v>
      </c>
      <c r="AH86" s="1">
        <v>45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398.23683999999997</v>
      </c>
      <c r="AR86" s="1">
        <v>398.23683999999997</v>
      </c>
      <c r="AS86" s="1">
        <v>99.559209999999993</v>
      </c>
      <c r="AT86" s="1">
        <v>13.9382894</v>
      </c>
      <c r="AU86" s="1">
        <v>0</v>
      </c>
      <c r="AV86" s="2" t="s">
        <v>69</v>
      </c>
      <c r="AW86" s="1">
        <v>-113.497</v>
      </c>
      <c r="AX86" s="1">
        <f>Table1[[#This Row],[Original Commissionable GMV]]-Table1[[#This Row],[Commission ]]-Table1[[#This Row],[Commission VAT]]-Table1[[#This Row],[FreeDeliveryFund]]</f>
        <v>284.73934059999999</v>
      </c>
      <c r="AY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M86" s="2"/>
    </row>
    <row r="87" spans="12:65" x14ac:dyDescent="0.25">
      <c r="L87" s="2">
        <v>504016</v>
      </c>
      <c r="M87" s="2" t="s">
        <v>52</v>
      </c>
      <c r="N87" s="2">
        <v>505839</v>
      </c>
      <c r="O87" t="s">
        <v>53</v>
      </c>
      <c r="P87">
        <v>3379608485</v>
      </c>
      <c r="Q87" s="5">
        <v>46025.782233796293</v>
      </c>
      <c r="R87" s="2" t="s">
        <v>54</v>
      </c>
      <c r="S87" s="2" t="s">
        <v>51</v>
      </c>
      <c r="T87" s="2" t="s">
        <v>55</v>
      </c>
      <c r="U87" s="2" t="s">
        <v>56</v>
      </c>
      <c r="V87" s="2" t="s">
        <v>57</v>
      </c>
      <c r="W87" s="2" t="s">
        <v>58</v>
      </c>
      <c r="X87" s="2" t="s">
        <v>59</v>
      </c>
      <c r="Y87" s="1">
        <v>967.97</v>
      </c>
      <c r="Z87" s="1">
        <v>967.97</v>
      </c>
      <c r="AA87" s="1">
        <v>9</v>
      </c>
      <c r="AB87" s="1">
        <v>29.99</v>
      </c>
      <c r="AC87" s="1">
        <v>0</v>
      </c>
      <c r="AD87" s="1">
        <v>123.66175</v>
      </c>
      <c r="AE87" s="1">
        <v>1006.96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16.939475000000002</v>
      </c>
      <c r="AP87" s="1">
        <v>2.3715264999999999</v>
      </c>
      <c r="AQ87" s="1">
        <v>849.09649000000002</v>
      </c>
      <c r="AR87" s="1">
        <v>849.09649000000002</v>
      </c>
      <c r="AS87" s="1">
        <v>212.27412000000001</v>
      </c>
      <c r="AT87" s="1">
        <v>29.718376800000001</v>
      </c>
      <c r="AU87" s="1">
        <v>34.99</v>
      </c>
      <c r="AV87" s="2" t="s">
        <v>60</v>
      </c>
      <c r="AW87" s="1">
        <v>671.67700000000002</v>
      </c>
      <c r="AX87" s="1">
        <f>Table1[[#This Row],[Original Commissionable GMV]]-Table1[[#This Row],[Commission ]]-Table1[[#This Row],[Commission VAT]]-Table1[[#This Row],[FreeDeliveryFund]]</f>
        <v>572.11399319999998</v>
      </c>
      <c r="AY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M87" s="2"/>
    </row>
    <row r="88" spans="12:65" x14ac:dyDescent="0.25">
      <c r="L88" s="2">
        <v>504016</v>
      </c>
      <c r="M88" s="2" t="s">
        <v>52</v>
      </c>
      <c r="N88" s="2">
        <v>505837</v>
      </c>
      <c r="O88" t="s">
        <v>53</v>
      </c>
      <c r="P88">
        <v>3379759959</v>
      </c>
      <c r="Q88" s="5">
        <v>46025.826631944445</v>
      </c>
      <c r="R88" s="2" t="s">
        <v>62</v>
      </c>
      <c r="S88" s="2" t="s">
        <v>51</v>
      </c>
      <c r="T88" s="2" t="s">
        <v>55</v>
      </c>
      <c r="U88" s="2" t="s">
        <v>59</v>
      </c>
      <c r="V88" s="2" t="s">
        <v>57</v>
      </c>
      <c r="W88" s="2" t="s">
        <v>58</v>
      </c>
      <c r="X88" s="2" t="s">
        <v>59</v>
      </c>
      <c r="Y88" s="1">
        <v>726.65</v>
      </c>
      <c r="Z88" s="1">
        <v>726.65</v>
      </c>
      <c r="AA88" s="1">
        <v>9</v>
      </c>
      <c r="AB88" s="1">
        <v>29.99</v>
      </c>
      <c r="AC88" s="1">
        <v>0</v>
      </c>
      <c r="AD88" s="1">
        <v>94.025959999999998</v>
      </c>
      <c r="AE88" s="1">
        <v>765.64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637.41228000000001</v>
      </c>
      <c r="AR88" s="1">
        <v>637.41228000000001</v>
      </c>
      <c r="AS88" s="1">
        <v>159.35307</v>
      </c>
      <c r="AT88" s="1">
        <v>22.3094298</v>
      </c>
      <c r="AU88" s="1">
        <v>36.99</v>
      </c>
      <c r="AV88" s="2" t="s">
        <v>60</v>
      </c>
      <c r="AW88" s="1">
        <v>507.99799999999999</v>
      </c>
      <c r="AX88" s="1">
        <f>Table1[[#This Row],[Original Commissionable GMV]]-Table1[[#This Row],[Commission ]]-Table1[[#This Row],[Commission VAT]]-Table1[[#This Row],[FreeDeliveryFund]]</f>
        <v>418.75978020000002</v>
      </c>
      <c r="AY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M88" s="2"/>
    </row>
    <row r="89" spans="12:65" x14ac:dyDescent="0.25">
      <c r="L89" s="2">
        <v>504016</v>
      </c>
      <c r="M89" s="2" t="s">
        <v>52</v>
      </c>
      <c r="N89" s="2">
        <v>505837</v>
      </c>
      <c r="O89" t="s">
        <v>63</v>
      </c>
      <c r="P89">
        <v>3379787516</v>
      </c>
      <c r="Q89" s="5">
        <v>46025.834999999999</v>
      </c>
      <c r="R89" s="2" t="s">
        <v>54</v>
      </c>
      <c r="S89" s="2" t="s">
        <v>51</v>
      </c>
      <c r="T89" s="2" t="s">
        <v>55</v>
      </c>
      <c r="U89" s="2" t="s">
        <v>56</v>
      </c>
      <c r="V89" s="2" t="s">
        <v>57</v>
      </c>
      <c r="W89" s="2" t="s">
        <v>58</v>
      </c>
      <c r="X89" s="2" t="s">
        <v>59</v>
      </c>
      <c r="Y89" s="1">
        <v>259.99</v>
      </c>
      <c r="Z89" s="1">
        <v>259.99</v>
      </c>
      <c r="AA89" s="1">
        <v>0</v>
      </c>
      <c r="AB89" s="1">
        <v>13</v>
      </c>
      <c r="AC89" s="1">
        <v>0</v>
      </c>
      <c r="AD89" s="1">
        <v>33.525089999999999</v>
      </c>
      <c r="AE89" s="1">
        <v>272.99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4.5498250000000002</v>
      </c>
      <c r="AP89" s="1">
        <v>0.63697550000000003</v>
      </c>
      <c r="AQ89" s="1">
        <v>228.06139999999999</v>
      </c>
      <c r="AR89" s="1">
        <v>228.06139999999999</v>
      </c>
      <c r="AS89" s="1">
        <v>57.015349999999998</v>
      </c>
      <c r="AT89" s="1">
        <v>7.9821489999999997</v>
      </c>
      <c r="AU89" s="1">
        <v>26.99</v>
      </c>
      <c r="AV89" s="2" t="s">
        <v>60</v>
      </c>
      <c r="AW89" s="1">
        <v>162.816</v>
      </c>
      <c r="AX89" s="1">
        <f>Table1[[#This Row],[Original Commissionable GMV]]-Table1[[#This Row],[Commission ]]-Table1[[#This Row],[Commission VAT]]-Table1[[#This Row],[FreeDeliveryFund]]</f>
        <v>136.07390099999998</v>
      </c>
      <c r="AY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M89" s="2"/>
    </row>
    <row r="90" spans="12:65" x14ac:dyDescent="0.25">
      <c r="L90" s="2">
        <v>504016</v>
      </c>
      <c r="M90" s="2" t="s">
        <v>52</v>
      </c>
      <c r="N90" s="2">
        <v>505839</v>
      </c>
      <c r="O90" t="s">
        <v>53</v>
      </c>
      <c r="P90">
        <v>3379787591</v>
      </c>
      <c r="Q90" s="5">
        <v>46025.835023148145</v>
      </c>
      <c r="R90" s="2" t="s">
        <v>54</v>
      </c>
      <c r="S90" s="2" t="s">
        <v>51</v>
      </c>
      <c r="T90" s="2" t="s">
        <v>55</v>
      </c>
      <c r="U90" s="2" t="s">
        <v>56</v>
      </c>
      <c r="V90" s="2" t="s">
        <v>57</v>
      </c>
      <c r="W90" s="2" t="s">
        <v>58</v>
      </c>
      <c r="X90" s="2" t="s">
        <v>59</v>
      </c>
      <c r="Y90" s="1">
        <v>273.99</v>
      </c>
      <c r="Z90" s="1">
        <v>273.99</v>
      </c>
      <c r="AA90" s="1">
        <v>0</v>
      </c>
      <c r="AB90" s="1">
        <v>13.7</v>
      </c>
      <c r="AC90" s="1">
        <v>0</v>
      </c>
      <c r="AD90" s="1">
        <v>35.330350000000003</v>
      </c>
      <c r="AE90" s="1">
        <v>287.69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4.7948250000000003</v>
      </c>
      <c r="AP90" s="1">
        <v>0.67127550000000002</v>
      </c>
      <c r="AQ90" s="1">
        <v>240.34210999999999</v>
      </c>
      <c r="AR90" s="1">
        <v>240.34210999999999</v>
      </c>
      <c r="AS90" s="1">
        <v>60.085529999999999</v>
      </c>
      <c r="AT90" s="1">
        <v>8.4119741999999995</v>
      </c>
      <c r="AU90" s="1">
        <v>31.99</v>
      </c>
      <c r="AV90" s="2" t="s">
        <v>60</v>
      </c>
      <c r="AW90" s="1">
        <v>168.036</v>
      </c>
      <c r="AX90" s="1">
        <f>Table1[[#This Row],[Original Commissionable GMV]]-Table1[[#This Row],[Commission ]]-Table1[[#This Row],[Commission VAT]]-Table1[[#This Row],[FreeDeliveryFund]]</f>
        <v>139.85460579999997</v>
      </c>
      <c r="AY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M90" s="2"/>
    </row>
    <row r="91" spans="12:65" x14ac:dyDescent="0.25">
      <c r="L91" s="2">
        <v>504016</v>
      </c>
      <c r="M91" s="2" t="s">
        <v>52</v>
      </c>
      <c r="N91" s="2">
        <v>505837</v>
      </c>
      <c r="O91" t="s">
        <v>65</v>
      </c>
      <c r="P91">
        <v>3379819480</v>
      </c>
      <c r="Q91" s="5">
        <v>46025.844780092593</v>
      </c>
      <c r="R91" s="2" t="s">
        <v>54</v>
      </c>
      <c r="S91" s="2" t="s">
        <v>51</v>
      </c>
      <c r="T91" s="2" t="s">
        <v>55</v>
      </c>
      <c r="U91" s="2" t="s">
        <v>59</v>
      </c>
      <c r="V91" s="2" t="s">
        <v>57</v>
      </c>
      <c r="W91" s="2" t="s">
        <v>58</v>
      </c>
      <c r="X91" s="2" t="s">
        <v>59</v>
      </c>
      <c r="Y91" s="1">
        <v>702.97</v>
      </c>
      <c r="Z91" s="1">
        <v>702.97</v>
      </c>
      <c r="AA91" s="1">
        <v>27.99</v>
      </c>
      <c r="AB91" s="1">
        <v>29.99</v>
      </c>
      <c r="AC91" s="1">
        <v>0</v>
      </c>
      <c r="AD91" s="1">
        <v>93.45</v>
      </c>
      <c r="AE91" s="1">
        <v>760.95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12.301975000000001</v>
      </c>
      <c r="AP91" s="1">
        <v>1.7222765</v>
      </c>
      <c r="AQ91" s="1">
        <v>616.64035000000001</v>
      </c>
      <c r="AR91" s="1">
        <v>616.64035000000001</v>
      </c>
      <c r="AS91" s="1">
        <v>154.16009</v>
      </c>
      <c r="AT91" s="1">
        <v>21.582412600000001</v>
      </c>
      <c r="AU91" s="1">
        <v>0</v>
      </c>
      <c r="AV91" s="2" t="s">
        <v>69</v>
      </c>
      <c r="AW91" s="1">
        <v>513.20299999999997</v>
      </c>
      <c r="AX91" s="1">
        <f>Table1[[#This Row],[Original Commissionable GMV]]-Table1[[#This Row],[Commission ]]-Table1[[#This Row],[Commission VAT]]-Table1[[#This Row],[FreeDeliveryFund]]</f>
        <v>440.89784740000005</v>
      </c>
      <c r="AY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M91" s="2"/>
    </row>
    <row r="92" spans="12:65" x14ac:dyDescent="0.25">
      <c r="L92" s="2">
        <v>504016</v>
      </c>
      <c r="M92" s="2" t="s">
        <v>52</v>
      </c>
      <c r="N92" s="2">
        <v>505837</v>
      </c>
      <c r="O92" t="s">
        <v>63</v>
      </c>
      <c r="P92">
        <v>3379833336</v>
      </c>
      <c r="Q92" s="5">
        <v>46025.849131944444</v>
      </c>
      <c r="R92" s="2" t="s">
        <v>54</v>
      </c>
      <c r="S92" s="2" t="s">
        <v>51</v>
      </c>
      <c r="T92" s="2" t="s">
        <v>55</v>
      </c>
      <c r="U92" s="2" t="s">
        <v>59</v>
      </c>
      <c r="V92" s="2" t="s">
        <v>57</v>
      </c>
      <c r="W92" s="2" t="s">
        <v>58</v>
      </c>
      <c r="X92" s="2" t="s">
        <v>59</v>
      </c>
      <c r="Y92" s="1">
        <v>657.69</v>
      </c>
      <c r="Z92" s="1">
        <v>657.69</v>
      </c>
      <c r="AA92" s="1">
        <v>0</v>
      </c>
      <c r="AB92" s="1">
        <v>29.99</v>
      </c>
      <c r="AC92" s="1">
        <v>0</v>
      </c>
      <c r="AD92" s="1">
        <v>84.451930000000004</v>
      </c>
      <c r="AE92" s="1">
        <v>687.68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11.509575</v>
      </c>
      <c r="AP92" s="1">
        <v>1.6113405000000001</v>
      </c>
      <c r="AQ92" s="1">
        <v>576.92105000000004</v>
      </c>
      <c r="AR92" s="1">
        <v>576.92105000000004</v>
      </c>
      <c r="AS92" s="1">
        <v>144.23025999999999</v>
      </c>
      <c r="AT92" s="1">
        <v>20.192236399999999</v>
      </c>
      <c r="AU92" s="1">
        <v>29.99</v>
      </c>
      <c r="AV92" s="2" t="s">
        <v>60</v>
      </c>
      <c r="AW92" s="1">
        <v>450.15699999999998</v>
      </c>
      <c r="AX92" s="1">
        <f>Table1[[#This Row],[Original Commissionable GMV]]-Table1[[#This Row],[Commission ]]-Table1[[#This Row],[Commission VAT]]-Table1[[#This Row],[FreeDeliveryFund]]</f>
        <v>382.50855360000003</v>
      </c>
      <c r="AY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M92" s="2"/>
    </row>
    <row r="93" spans="12:65" x14ac:dyDescent="0.25">
      <c r="L93" s="2">
        <v>504016</v>
      </c>
      <c r="M93" s="2" t="s">
        <v>52</v>
      </c>
      <c r="N93" s="2">
        <v>505839</v>
      </c>
      <c r="O93" t="s">
        <v>63</v>
      </c>
      <c r="P93">
        <v>3379843875</v>
      </c>
      <c r="Q93" s="5">
        <v>46025.852442129632</v>
      </c>
      <c r="R93" s="2" t="s">
        <v>54</v>
      </c>
      <c r="S93" s="2" t="s">
        <v>51</v>
      </c>
      <c r="T93" s="2" t="s">
        <v>55</v>
      </c>
      <c r="U93" s="2" t="s">
        <v>59</v>
      </c>
      <c r="V93" s="2" t="s">
        <v>57</v>
      </c>
      <c r="W93" s="2" t="s">
        <v>58</v>
      </c>
      <c r="X93" s="2" t="s">
        <v>59</v>
      </c>
      <c r="Y93" s="1">
        <v>517.98</v>
      </c>
      <c r="Z93" s="1">
        <v>517.98</v>
      </c>
      <c r="AA93" s="1">
        <v>0</v>
      </c>
      <c r="AB93" s="1">
        <v>25.9</v>
      </c>
      <c r="AC93" s="1">
        <v>0</v>
      </c>
      <c r="AD93" s="1">
        <v>66.792280000000005</v>
      </c>
      <c r="AE93" s="1">
        <v>543.88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9.0646500000000003</v>
      </c>
      <c r="AP93" s="1">
        <v>1.2690509999999999</v>
      </c>
      <c r="AQ93" s="1">
        <v>454.36842000000001</v>
      </c>
      <c r="AR93" s="1">
        <v>454.36842000000001</v>
      </c>
      <c r="AS93" s="1">
        <v>113.59211000000001</v>
      </c>
      <c r="AT93" s="1">
        <v>15.9028954</v>
      </c>
      <c r="AU93" s="1">
        <v>29.99</v>
      </c>
      <c r="AV93" s="2" t="s">
        <v>60</v>
      </c>
      <c r="AW93" s="1">
        <v>348.161</v>
      </c>
      <c r="AX93" s="1">
        <f>Table1[[#This Row],[Original Commissionable GMV]]-Table1[[#This Row],[Commission ]]-Table1[[#This Row],[Commission VAT]]-Table1[[#This Row],[FreeDeliveryFund]]</f>
        <v>294.88341460000004</v>
      </c>
      <c r="AY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M93" s="2"/>
    </row>
    <row r="94" spans="12:65" x14ac:dyDescent="0.25">
      <c r="L94" s="2">
        <v>504016</v>
      </c>
      <c r="M94" s="2" t="s">
        <v>52</v>
      </c>
      <c r="N94" s="2">
        <v>505839</v>
      </c>
      <c r="O94" t="s">
        <v>53</v>
      </c>
      <c r="P94">
        <v>3379873975</v>
      </c>
      <c r="Q94" s="5">
        <v>46025.862071759257</v>
      </c>
      <c r="R94" s="2" t="s">
        <v>54</v>
      </c>
      <c r="S94" s="2" t="s">
        <v>51</v>
      </c>
      <c r="T94" s="2" t="s">
        <v>55</v>
      </c>
      <c r="U94" s="2" t="s">
        <v>56</v>
      </c>
      <c r="V94" s="2" t="s">
        <v>57</v>
      </c>
      <c r="W94" s="2" t="s">
        <v>58</v>
      </c>
      <c r="X94" s="2" t="s">
        <v>59</v>
      </c>
      <c r="Y94" s="1">
        <v>453.99</v>
      </c>
      <c r="Z94" s="1">
        <v>453.99</v>
      </c>
      <c r="AA94" s="1">
        <v>9</v>
      </c>
      <c r="AB94" s="1">
        <v>22.7</v>
      </c>
      <c r="AC94" s="1">
        <v>0</v>
      </c>
      <c r="AD94" s="1">
        <v>59.646140000000003</v>
      </c>
      <c r="AE94" s="1">
        <v>485.69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7.9448249999999998</v>
      </c>
      <c r="AP94" s="1">
        <v>1.1122755</v>
      </c>
      <c r="AQ94" s="1">
        <v>398.23683999999997</v>
      </c>
      <c r="AR94" s="1">
        <v>398.23683999999997</v>
      </c>
      <c r="AS94" s="1">
        <v>99.559209999999993</v>
      </c>
      <c r="AT94" s="1">
        <v>13.9382894</v>
      </c>
      <c r="AU94" s="1">
        <v>31.99</v>
      </c>
      <c r="AV94" s="2" t="s">
        <v>60</v>
      </c>
      <c r="AW94" s="1">
        <v>299.44499999999999</v>
      </c>
      <c r="AX94" s="1">
        <f>Table1[[#This Row],[Original Commissionable GMV]]-Table1[[#This Row],[Commission ]]-Table1[[#This Row],[Commission VAT]]-Table1[[#This Row],[FreeDeliveryFund]]</f>
        <v>252.74934059999998</v>
      </c>
      <c r="AY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M94" s="2"/>
    </row>
    <row r="95" spans="12:65" x14ac:dyDescent="0.25">
      <c r="L95" s="2">
        <v>504016</v>
      </c>
      <c r="M95" s="2" t="s">
        <v>52</v>
      </c>
      <c r="N95" s="2">
        <v>505837</v>
      </c>
      <c r="O95" t="s">
        <v>53</v>
      </c>
      <c r="P95">
        <v>3379922539</v>
      </c>
      <c r="Q95" s="5">
        <v>46025.878275462965</v>
      </c>
      <c r="R95" s="2" t="s">
        <v>54</v>
      </c>
      <c r="S95" s="2" t="s">
        <v>51</v>
      </c>
      <c r="T95" s="2" t="s">
        <v>55</v>
      </c>
      <c r="U95" s="2" t="s">
        <v>59</v>
      </c>
      <c r="V95" s="2" t="s">
        <v>57</v>
      </c>
      <c r="W95" s="2" t="s">
        <v>58</v>
      </c>
      <c r="X95" s="2" t="s">
        <v>59</v>
      </c>
      <c r="Y95" s="1">
        <v>392.99</v>
      </c>
      <c r="Z95" s="1">
        <v>392.99</v>
      </c>
      <c r="AA95" s="1">
        <v>0</v>
      </c>
      <c r="AB95" s="1">
        <v>19.649999999999999</v>
      </c>
      <c r="AC95" s="1">
        <v>0</v>
      </c>
      <c r="AD95" s="1">
        <v>50.675089999999997</v>
      </c>
      <c r="AE95" s="1">
        <v>412.64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6.8773249999999999</v>
      </c>
      <c r="AP95" s="1">
        <v>0.9628255</v>
      </c>
      <c r="AQ95" s="1">
        <v>344.72807</v>
      </c>
      <c r="AR95" s="1">
        <v>344.72807</v>
      </c>
      <c r="AS95" s="1">
        <v>86.182019999999994</v>
      </c>
      <c r="AT95" s="1">
        <v>12.0654828</v>
      </c>
      <c r="AU95" s="1">
        <v>34.99</v>
      </c>
      <c r="AV95" s="2" t="s">
        <v>60</v>
      </c>
      <c r="AW95" s="1">
        <v>251.91200000000001</v>
      </c>
      <c r="AX95" s="1">
        <f>Table1[[#This Row],[Original Commissionable GMV]]-Table1[[#This Row],[Commission ]]-Table1[[#This Row],[Commission VAT]]-Table1[[#This Row],[FreeDeliveryFund]]</f>
        <v>211.49056720000002</v>
      </c>
      <c r="AY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M95" s="2"/>
    </row>
    <row r="96" spans="12:65" x14ac:dyDescent="0.25">
      <c r="L96" s="2">
        <v>504016</v>
      </c>
      <c r="M96" s="2" t="s">
        <v>52</v>
      </c>
      <c r="N96" s="2">
        <v>505839</v>
      </c>
      <c r="O96" t="s">
        <v>63</v>
      </c>
      <c r="P96">
        <v>3379949081</v>
      </c>
      <c r="Q96" s="5">
        <v>46025.887511574074</v>
      </c>
      <c r="R96" s="2" t="s">
        <v>62</v>
      </c>
      <c r="S96" s="2" t="s">
        <v>51</v>
      </c>
      <c r="T96" s="2" t="s">
        <v>55</v>
      </c>
      <c r="U96" s="2" t="s">
        <v>59</v>
      </c>
      <c r="V96" s="2" t="s">
        <v>57</v>
      </c>
      <c r="W96" s="2" t="s">
        <v>58</v>
      </c>
      <c r="X96" s="2" t="s">
        <v>59</v>
      </c>
      <c r="Y96" s="1">
        <v>792.97</v>
      </c>
      <c r="Z96" s="1">
        <v>792.97</v>
      </c>
      <c r="AA96" s="1">
        <v>28.99</v>
      </c>
      <c r="AB96" s="1">
        <v>29.99</v>
      </c>
      <c r="AC96" s="1">
        <v>0</v>
      </c>
      <c r="AD96" s="1">
        <v>104.62544</v>
      </c>
      <c r="AE96" s="1">
        <v>851.95</v>
      </c>
      <c r="AG96" s="1">
        <v>0</v>
      </c>
      <c r="AH96" s="1">
        <v>0</v>
      </c>
      <c r="AI96" s="1">
        <v>132.24</v>
      </c>
      <c r="AJ96" s="1">
        <v>0</v>
      </c>
      <c r="AK96" s="1">
        <v>132.24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695.58771999999999</v>
      </c>
      <c r="AR96" s="1">
        <v>695.58771999999999</v>
      </c>
      <c r="AS96" s="1">
        <v>173.89693</v>
      </c>
      <c r="AT96" s="1">
        <v>24.345570200000001</v>
      </c>
      <c r="AU96" s="1">
        <v>0</v>
      </c>
      <c r="AV96" s="2" t="s">
        <v>69</v>
      </c>
      <c r="AW96" s="1">
        <v>594.72699999999998</v>
      </c>
      <c r="AX96" s="1">
        <f>Table1[[#This Row],[Original Commissionable GMV]]-Table1[[#This Row],[Commission ]]-Table1[[#This Row],[Commission VAT]]-Table1[[#This Row],[FreeDeliveryFund]]</f>
        <v>497.3452198</v>
      </c>
      <c r="AY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M96" s="2"/>
    </row>
    <row r="97" spans="12:65" x14ac:dyDescent="0.25">
      <c r="L97" s="2">
        <v>504016</v>
      </c>
      <c r="M97" s="2" t="s">
        <v>52</v>
      </c>
      <c r="N97" s="2">
        <v>505835</v>
      </c>
      <c r="O97" t="s">
        <v>63</v>
      </c>
      <c r="P97">
        <v>3380030238</v>
      </c>
      <c r="Q97" s="5">
        <v>46025.917962962965</v>
      </c>
      <c r="R97" s="2" t="s">
        <v>62</v>
      </c>
      <c r="S97" s="2" t="s">
        <v>51</v>
      </c>
      <c r="T97" s="2" t="s">
        <v>55</v>
      </c>
      <c r="U97" s="2" t="s">
        <v>59</v>
      </c>
      <c r="V97" s="2" t="s">
        <v>57</v>
      </c>
      <c r="W97" s="2" t="s">
        <v>58</v>
      </c>
      <c r="X97" s="2" t="s">
        <v>59</v>
      </c>
      <c r="Y97" s="1">
        <v>1513.94</v>
      </c>
      <c r="Z97" s="1">
        <v>1513.94</v>
      </c>
      <c r="AA97" s="1">
        <v>29.99</v>
      </c>
      <c r="AB97" s="1">
        <v>29.99</v>
      </c>
      <c r="AC97" s="1">
        <v>0</v>
      </c>
      <c r="AD97" s="1">
        <v>193.28842</v>
      </c>
      <c r="AE97" s="1">
        <v>1573.92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100</v>
      </c>
      <c r="AM97" s="1">
        <v>0</v>
      </c>
      <c r="AN97" s="1">
        <v>0</v>
      </c>
      <c r="AO97" s="1">
        <v>0</v>
      </c>
      <c r="AP97" s="1">
        <v>0</v>
      </c>
      <c r="AQ97" s="1">
        <v>1328.0175400000001</v>
      </c>
      <c r="AR97" s="1">
        <v>1328.0175400000001</v>
      </c>
      <c r="AS97" s="1">
        <v>332.00439</v>
      </c>
      <c r="AT97" s="1">
        <v>46.480614600000003</v>
      </c>
      <c r="AU97" s="1">
        <v>0</v>
      </c>
      <c r="AV97" s="2" t="s">
        <v>69</v>
      </c>
      <c r="AW97" s="1">
        <v>1135.4549999999999</v>
      </c>
      <c r="AX97" s="1">
        <f>Table1[[#This Row],[Original Commissionable GMV]]-Table1[[#This Row],[Commission ]]-Table1[[#This Row],[Commission VAT]]-Table1[[#This Row],[FreeDeliveryFund]]</f>
        <v>949.53253540000003</v>
      </c>
      <c r="AY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M97" s="2"/>
    </row>
    <row r="98" spans="12:65" x14ac:dyDescent="0.25">
      <c r="L98" s="2">
        <v>504016</v>
      </c>
      <c r="M98" s="2" t="s">
        <v>52</v>
      </c>
      <c r="N98" s="2">
        <v>505837</v>
      </c>
      <c r="O98" t="s">
        <v>53</v>
      </c>
      <c r="P98">
        <v>3380068339</v>
      </c>
      <c r="Q98" s="5">
        <v>46025.93414351852</v>
      </c>
      <c r="R98" s="2" t="s">
        <v>54</v>
      </c>
      <c r="S98" s="2" t="s">
        <v>51</v>
      </c>
      <c r="T98" s="2" t="s">
        <v>55</v>
      </c>
      <c r="U98" s="2" t="s">
        <v>56</v>
      </c>
      <c r="V98" s="2" t="s">
        <v>57</v>
      </c>
      <c r="W98" s="2" t="s">
        <v>58</v>
      </c>
      <c r="X98" s="2" t="s">
        <v>59</v>
      </c>
      <c r="Y98" s="1">
        <v>631.80999999999995</v>
      </c>
      <c r="Z98" s="1">
        <v>631.80999999999995</v>
      </c>
      <c r="AA98" s="1">
        <v>0</v>
      </c>
      <c r="AB98" s="1">
        <v>29.99</v>
      </c>
      <c r="AC98" s="1">
        <v>0</v>
      </c>
      <c r="AD98" s="1">
        <v>81.273679999999999</v>
      </c>
      <c r="AE98" s="1">
        <v>661.8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11.056675</v>
      </c>
      <c r="AP98" s="1">
        <v>1.5479345</v>
      </c>
      <c r="AQ98" s="1">
        <v>554.21929999999998</v>
      </c>
      <c r="AR98" s="1">
        <v>554.21929999999998</v>
      </c>
      <c r="AS98" s="1">
        <v>138.55483000000001</v>
      </c>
      <c r="AT98" s="1">
        <v>19.397676199999999</v>
      </c>
      <c r="AU98" s="1">
        <v>30.99</v>
      </c>
      <c r="AV98" s="2" t="s">
        <v>60</v>
      </c>
      <c r="AW98" s="1">
        <v>430.26299999999998</v>
      </c>
      <c r="AX98" s="1">
        <f>Table1[[#This Row],[Original Commissionable GMV]]-Table1[[#This Row],[Commission ]]-Table1[[#This Row],[Commission VAT]]-Table1[[#This Row],[FreeDeliveryFund]]</f>
        <v>365.27679379999995</v>
      </c>
      <c r="AY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M98" s="2"/>
    </row>
    <row r="99" spans="12:65" x14ac:dyDescent="0.25">
      <c r="L99" s="2">
        <v>504016</v>
      </c>
      <c r="M99" s="2" t="s">
        <v>52</v>
      </c>
      <c r="N99" s="2">
        <v>505835</v>
      </c>
      <c r="O99" t="s">
        <v>53</v>
      </c>
      <c r="P99">
        <v>3380136621</v>
      </c>
      <c r="Q99" s="5">
        <v>46025.967187499999</v>
      </c>
      <c r="R99" s="2" t="s">
        <v>54</v>
      </c>
      <c r="S99" s="2" t="s">
        <v>51</v>
      </c>
      <c r="T99" s="2" t="s">
        <v>55</v>
      </c>
      <c r="U99" s="2" t="s">
        <v>56</v>
      </c>
      <c r="V99" s="2" t="s">
        <v>57</v>
      </c>
      <c r="W99" s="2" t="s">
        <v>58</v>
      </c>
      <c r="X99" s="2" t="s">
        <v>59</v>
      </c>
      <c r="Y99" s="1">
        <v>453.99</v>
      </c>
      <c r="Z99" s="1">
        <v>453.99</v>
      </c>
      <c r="AA99" s="1">
        <v>33.99</v>
      </c>
      <c r="AB99" s="1">
        <v>22.7</v>
      </c>
      <c r="AC99" s="1">
        <v>0</v>
      </c>
      <c r="AD99" s="1">
        <v>62.715089999999996</v>
      </c>
      <c r="AE99" s="1">
        <v>510.68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7.9448249999999998</v>
      </c>
      <c r="AP99" s="1">
        <v>1.1122755</v>
      </c>
      <c r="AQ99" s="1">
        <v>398.23683999999997</v>
      </c>
      <c r="AR99" s="1">
        <v>398.23683999999997</v>
      </c>
      <c r="AS99" s="1">
        <v>99.559209999999993</v>
      </c>
      <c r="AT99" s="1">
        <v>13.9382894</v>
      </c>
      <c r="AU99" s="1">
        <v>0</v>
      </c>
      <c r="AV99" s="2" t="s">
        <v>69</v>
      </c>
      <c r="AW99" s="1">
        <v>331.435</v>
      </c>
      <c r="AX99" s="1">
        <f>Table1[[#This Row],[Original Commissionable GMV]]-Table1[[#This Row],[Commission ]]-Table1[[#This Row],[Commission VAT]]-Table1[[#This Row],[FreeDeliveryFund]]</f>
        <v>284.73934059999999</v>
      </c>
      <c r="AY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M99" s="2"/>
    </row>
    <row r="100" spans="12:65" x14ac:dyDescent="0.25">
      <c r="L100" s="2">
        <v>504016</v>
      </c>
      <c r="M100" s="2" t="s">
        <v>52</v>
      </c>
      <c r="N100" s="2">
        <v>505839</v>
      </c>
      <c r="O100" t="s">
        <v>63</v>
      </c>
      <c r="P100">
        <v>3380661028</v>
      </c>
      <c r="Q100" s="5">
        <v>46026.498182870368</v>
      </c>
      <c r="R100" s="2" t="s">
        <v>54</v>
      </c>
      <c r="S100" s="2" t="s">
        <v>51</v>
      </c>
      <c r="T100" s="2" t="s">
        <v>55</v>
      </c>
      <c r="U100" s="2" t="s">
        <v>56</v>
      </c>
      <c r="V100" s="2" t="s">
        <v>57</v>
      </c>
      <c r="W100" s="2" t="s">
        <v>58</v>
      </c>
      <c r="X100" s="2" t="s">
        <v>59</v>
      </c>
      <c r="Y100" s="1">
        <v>484.98</v>
      </c>
      <c r="Z100" s="1">
        <v>484.98</v>
      </c>
      <c r="AA100" s="1">
        <v>7</v>
      </c>
      <c r="AB100" s="1">
        <v>24.25</v>
      </c>
      <c r="AC100" s="1">
        <v>0</v>
      </c>
      <c r="AD100" s="1">
        <v>63.39667</v>
      </c>
      <c r="AE100" s="1">
        <v>516.23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8.4871499999999997</v>
      </c>
      <c r="AP100" s="1">
        <v>1.1882010000000001</v>
      </c>
      <c r="AQ100" s="1">
        <v>425.42104999999998</v>
      </c>
      <c r="AR100" s="1">
        <v>425.42104999999998</v>
      </c>
      <c r="AS100" s="1">
        <v>106.35526</v>
      </c>
      <c r="AT100" s="1">
        <v>14.8897364</v>
      </c>
      <c r="AU100" s="1">
        <v>29.99</v>
      </c>
      <c r="AV100" s="2" t="s">
        <v>60</v>
      </c>
      <c r="AW100" s="1">
        <v>324.07</v>
      </c>
      <c r="AX100" s="1">
        <f>Table1[[#This Row],[Original Commissionable GMV]]-Table1[[#This Row],[Commission ]]-Table1[[#This Row],[Commission VAT]]-Table1[[#This Row],[FreeDeliveryFund]]</f>
        <v>274.18605359999998</v>
      </c>
      <c r="AY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M100" s="2"/>
    </row>
    <row r="101" spans="12:65" x14ac:dyDescent="0.25">
      <c r="L101" s="2">
        <v>504016</v>
      </c>
      <c r="M101" s="2" t="s">
        <v>52</v>
      </c>
      <c r="N101" s="2">
        <v>505837</v>
      </c>
      <c r="O101" t="s">
        <v>63</v>
      </c>
      <c r="P101">
        <v>3380707618</v>
      </c>
      <c r="Q101" s="5">
        <v>46026.518252314818</v>
      </c>
      <c r="R101" s="2" t="s">
        <v>54</v>
      </c>
      <c r="S101" s="2" t="s">
        <v>51</v>
      </c>
      <c r="T101" s="2" t="s">
        <v>55</v>
      </c>
      <c r="U101" s="2" t="s">
        <v>56</v>
      </c>
      <c r="V101" s="2" t="s">
        <v>57</v>
      </c>
      <c r="W101" s="2" t="s">
        <v>58</v>
      </c>
      <c r="X101" s="2" t="s">
        <v>59</v>
      </c>
      <c r="Y101" s="1">
        <v>1109.96</v>
      </c>
      <c r="Z101" s="1">
        <v>1109.96</v>
      </c>
      <c r="AA101" s="1">
        <v>26.99</v>
      </c>
      <c r="AB101" s="1">
        <v>29.99</v>
      </c>
      <c r="AC101" s="1">
        <v>0</v>
      </c>
      <c r="AD101" s="1">
        <v>143.30842000000001</v>
      </c>
      <c r="AE101" s="1">
        <v>1166.94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19.42429825</v>
      </c>
      <c r="AP101" s="1">
        <v>2.7194017549999998</v>
      </c>
      <c r="AQ101" s="1">
        <v>973.64912000000004</v>
      </c>
      <c r="AR101" s="1">
        <v>973.64912000000004</v>
      </c>
      <c r="AS101" s="1">
        <v>243.41228000000001</v>
      </c>
      <c r="AT101" s="1">
        <v>34.077719199999997</v>
      </c>
      <c r="AU101" s="1">
        <v>0</v>
      </c>
      <c r="AV101" s="2" t="s">
        <v>69</v>
      </c>
      <c r="AW101" s="1">
        <v>810.32600000000002</v>
      </c>
      <c r="AX101" s="1">
        <f>Table1[[#This Row],[Original Commissionable GMV]]-Table1[[#This Row],[Commission ]]-Table1[[#This Row],[Commission VAT]]-Table1[[#This Row],[FreeDeliveryFund]]</f>
        <v>696.15912079999998</v>
      </c>
      <c r="AY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M101" s="2"/>
    </row>
    <row r="102" spans="12:65" x14ac:dyDescent="0.25">
      <c r="L102" s="2">
        <v>504016</v>
      </c>
      <c r="M102" s="2" t="s">
        <v>52</v>
      </c>
      <c r="N102" s="2">
        <v>505839</v>
      </c>
      <c r="O102" t="s">
        <v>63</v>
      </c>
      <c r="P102">
        <v>3380715117</v>
      </c>
      <c r="Q102" s="5">
        <v>46026.521504629629</v>
      </c>
      <c r="R102" s="2" t="s">
        <v>54</v>
      </c>
      <c r="S102" s="2" t="s">
        <v>51</v>
      </c>
      <c r="T102" s="2" t="s">
        <v>55</v>
      </c>
      <c r="U102" s="2" t="s">
        <v>56</v>
      </c>
      <c r="V102" s="2" t="s">
        <v>57</v>
      </c>
      <c r="W102" s="2" t="s">
        <v>58</v>
      </c>
      <c r="X102" s="2" t="s">
        <v>59</v>
      </c>
      <c r="Y102" s="1">
        <v>224.99</v>
      </c>
      <c r="Z102" s="1">
        <v>224.99</v>
      </c>
      <c r="AA102" s="1">
        <v>0</v>
      </c>
      <c r="AB102" s="1">
        <v>11.25</v>
      </c>
      <c r="AC102" s="1">
        <v>0</v>
      </c>
      <c r="AD102" s="1">
        <v>29.01193</v>
      </c>
      <c r="AE102" s="1">
        <v>236.24</v>
      </c>
      <c r="AG102" s="1">
        <v>0</v>
      </c>
      <c r="AH102" s="1">
        <v>0</v>
      </c>
      <c r="AI102" s="1">
        <v>132.24</v>
      </c>
      <c r="AJ102" s="1">
        <v>0</v>
      </c>
      <c r="AK102" s="1">
        <v>132.24</v>
      </c>
      <c r="AL102" s="1">
        <v>0</v>
      </c>
      <c r="AM102" s="1">
        <v>0</v>
      </c>
      <c r="AN102" s="1">
        <v>0</v>
      </c>
      <c r="AO102" s="1">
        <v>3.937325</v>
      </c>
      <c r="AP102" s="1">
        <v>0.55122550000000003</v>
      </c>
      <c r="AQ102" s="1">
        <v>197.35964999999999</v>
      </c>
      <c r="AR102" s="1">
        <v>197.35964999999999</v>
      </c>
      <c r="AS102" s="1">
        <v>49.339910000000003</v>
      </c>
      <c r="AT102" s="1">
        <v>6.9075873999999997</v>
      </c>
      <c r="AU102" s="1">
        <v>30.99</v>
      </c>
      <c r="AV102" s="2" t="s">
        <v>60</v>
      </c>
      <c r="AW102" s="1">
        <v>133.26400000000001</v>
      </c>
      <c r="AX102" s="1">
        <f>Table1[[#This Row],[Original Commissionable GMV]]-Table1[[#This Row],[Commission ]]-Table1[[#This Row],[Commission VAT]]-Table1[[#This Row],[FreeDeliveryFund]]</f>
        <v>110.12215259999998</v>
      </c>
      <c r="AY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M102" s="2"/>
    </row>
    <row r="103" spans="12:65" x14ac:dyDescent="0.25">
      <c r="L103" s="2">
        <v>504016</v>
      </c>
      <c r="M103" s="2" t="s">
        <v>52</v>
      </c>
      <c r="N103" s="2">
        <v>505837</v>
      </c>
      <c r="O103" t="s">
        <v>53</v>
      </c>
      <c r="P103">
        <v>3380840447</v>
      </c>
      <c r="Q103" s="5">
        <v>46026.57402777778</v>
      </c>
      <c r="R103" s="2" t="s">
        <v>54</v>
      </c>
      <c r="S103" s="2" t="s">
        <v>51</v>
      </c>
      <c r="T103" s="2" t="s">
        <v>55</v>
      </c>
      <c r="U103" s="2" t="s">
        <v>56</v>
      </c>
      <c r="V103" s="2" t="s">
        <v>57</v>
      </c>
      <c r="W103" s="2" t="s">
        <v>58</v>
      </c>
      <c r="X103" s="2" t="s">
        <v>59</v>
      </c>
      <c r="Y103" s="1">
        <v>781.67</v>
      </c>
      <c r="Z103" s="1">
        <v>781.67</v>
      </c>
      <c r="AA103" s="1">
        <v>31.99</v>
      </c>
      <c r="AB103" s="1">
        <v>29.99</v>
      </c>
      <c r="AC103" s="1">
        <v>0</v>
      </c>
      <c r="AD103" s="1">
        <v>103.60614</v>
      </c>
      <c r="AE103" s="1">
        <v>843.65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13.679225000000001</v>
      </c>
      <c r="AP103" s="1">
        <v>1.9150914999999999</v>
      </c>
      <c r="AQ103" s="1">
        <v>685.67543999999998</v>
      </c>
      <c r="AR103" s="1">
        <v>685.67543999999998</v>
      </c>
      <c r="AS103" s="1">
        <v>171.41886</v>
      </c>
      <c r="AT103" s="1">
        <v>23.998640399999999</v>
      </c>
      <c r="AU103" s="1">
        <v>0</v>
      </c>
      <c r="AV103" s="2" t="s">
        <v>69</v>
      </c>
      <c r="AW103" s="1">
        <v>570.65800000000002</v>
      </c>
      <c r="AX103" s="1">
        <f>Table1[[#This Row],[Original Commissionable GMV]]-Table1[[#This Row],[Commission ]]-Table1[[#This Row],[Commission VAT]]-Table1[[#This Row],[FreeDeliveryFund]]</f>
        <v>490.25793959999999</v>
      </c>
      <c r="AY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M103" s="2"/>
    </row>
    <row r="104" spans="12:65" x14ac:dyDescent="0.25">
      <c r="L104" s="2">
        <v>504016</v>
      </c>
      <c r="M104" s="2" t="s">
        <v>52</v>
      </c>
      <c r="N104" s="2">
        <v>505837</v>
      </c>
      <c r="O104" t="s">
        <v>53</v>
      </c>
      <c r="P104">
        <v>3380845178</v>
      </c>
      <c r="Q104" s="5">
        <v>46026.576006944444</v>
      </c>
      <c r="R104" s="2" t="s">
        <v>54</v>
      </c>
      <c r="S104" s="2" t="s">
        <v>51</v>
      </c>
      <c r="T104" s="2" t="s">
        <v>55</v>
      </c>
      <c r="U104" s="2" t="s">
        <v>59</v>
      </c>
      <c r="V104" s="2" t="s">
        <v>57</v>
      </c>
      <c r="W104" s="2" t="s">
        <v>58</v>
      </c>
      <c r="X104" s="2" t="s">
        <v>59</v>
      </c>
      <c r="Y104" s="1">
        <v>1008.97</v>
      </c>
      <c r="Z104" s="1">
        <v>1008.97</v>
      </c>
      <c r="AA104" s="1">
        <v>0</v>
      </c>
      <c r="AB104" s="1">
        <v>29.99</v>
      </c>
      <c r="AC104" s="1">
        <v>0</v>
      </c>
      <c r="AD104" s="1">
        <v>127.59157999999999</v>
      </c>
      <c r="AE104" s="1">
        <v>1038.96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17.656974999999999</v>
      </c>
      <c r="AP104" s="1">
        <v>2.4719764999999998</v>
      </c>
      <c r="AQ104" s="1">
        <v>885.06140000000005</v>
      </c>
      <c r="AR104" s="1">
        <v>885.06140000000005</v>
      </c>
      <c r="AS104" s="1">
        <v>221.26535000000001</v>
      </c>
      <c r="AT104" s="1">
        <v>30.977149000000001</v>
      </c>
      <c r="AU104" s="1">
        <v>35.99</v>
      </c>
      <c r="AV104" s="2" t="s">
        <v>60</v>
      </c>
      <c r="AW104" s="1">
        <v>700.60900000000004</v>
      </c>
      <c r="AX104" s="1">
        <f>Table1[[#This Row],[Original Commissionable GMV]]-Table1[[#This Row],[Commission ]]-Table1[[#This Row],[Commission VAT]]-Table1[[#This Row],[FreeDeliveryFund]]</f>
        <v>596.82890099999997</v>
      </c>
      <c r="AY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M104" s="2"/>
    </row>
    <row r="105" spans="12:65" x14ac:dyDescent="0.25">
      <c r="L105" s="2">
        <v>504016</v>
      </c>
      <c r="M105" s="2" t="s">
        <v>52</v>
      </c>
      <c r="N105" s="2">
        <v>505837</v>
      </c>
      <c r="O105" t="s">
        <v>53</v>
      </c>
      <c r="P105">
        <v>3380896312</v>
      </c>
      <c r="Q105" s="5">
        <v>46026.59715277778</v>
      </c>
      <c r="R105" s="2" t="s">
        <v>54</v>
      </c>
      <c r="S105" s="2" t="s">
        <v>51</v>
      </c>
      <c r="T105" s="2" t="s">
        <v>55</v>
      </c>
      <c r="U105" s="2" t="s">
        <v>59</v>
      </c>
      <c r="V105" s="2" t="s">
        <v>57</v>
      </c>
      <c r="W105" s="2" t="s">
        <v>58</v>
      </c>
      <c r="X105" s="2" t="s">
        <v>59</v>
      </c>
      <c r="Y105" s="1">
        <v>403.67</v>
      </c>
      <c r="Z105" s="1">
        <v>403.67</v>
      </c>
      <c r="AA105" s="1">
        <v>9</v>
      </c>
      <c r="AB105" s="1">
        <v>20.18</v>
      </c>
      <c r="AC105" s="1">
        <v>0</v>
      </c>
      <c r="AD105" s="1">
        <v>53.157020000000003</v>
      </c>
      <c r="AE105" s="1">
        <v>432.85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7.0642250000000004</v>
      </c>
      <c r="AP105" s="1">
        <v>0.98899150000000002</v>
      </c>
      <c r="AQ105" s="1">
        <v>354.09649000000002</v>
      </c>
      <c r="AR105" s="1">
        <v>354.09649000000002</v>
      </c>
      <c r="AS105" s="1">
        <v>88.524119999999996</v>
      </c>
      <c r="AT105" s="1">
        <v>12.3933768</v>
      </c>
      <c r="AU105" s="1">
        <v>31.99</v>
      </c>
      <c r="AV105" s="2" t="s">
        <v>60</v>
      </c>
      <c r="AW105" s="1">
        <v>262.709</v>
      </c>
      <c r="AX105" s="1">
        <f>Table1[[#This Row],[Original Commissionable GMV]]-Table1[[#This Row],[Commission ]]-Table1[[#This Row],[Commission VAT]]-Table1[[#This Row],[FreeDeliveryFund]]</f>
        <v>221.18899320000003</v>
      </c>
      <c r="AY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M105" s="2"/>
    </row>
    <row r="106" spans="12:65" x14ac:dyDescent="0.25">
      <c r="L106" s="2">
        <v>504016</v>
      </c>
      <c r="M106" s="2" t="s">
        <v>52</v>
      </c>
      <c r="N106" s="2">
        <v>505837</v>
      </c>
      <c r="O106" t="s">
        <v>53</v>
      </c>
      <c r="P106">
        <v>3380909857</v>
      </c>
      <c r="Q106" s="5">
        <v>46026.602592592593</v>
      </c>
      <c r="R106" s="2" t="s">
        <v>54</v>
      </c>
      <c r="S106" s="2" t="s">
        <v>51</v>
      </c>
      <c r="T106" s="2" t="s">
        <v>55</v>
      </c>
      <c r="U106" s="2" t="s">
        <v>56</v>
      </c>
      <c r="V106" s="2" t="s">
        <v>57</v>
      </c>
      <c r="W106" s="2" t="s">
        <v>58</v>
      </c>
      <c r="X106" s="2" t="s">
        <v>59</v>
      </c>
      <c r="Y106" s="1">
        <v>936.97</v>
      </c>
      <c r="Z106" s="1">
        <v>936.97</v>
      </c>
      <c r="AA106" s="1">
        <v>32.99</v>
      </c>
      <c r="AB106" s="1">
        <v>29.99</v>
      </c>
      <c r="AC106" s="1">
        <v>0</v>
      </c>
      <c r="AD106" s="1">
        <v>122.80088000000001</v>
      </c>
      <c r="AE106" s="1">
        <v>999.95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16.396975000000001</v>
      </c>
      <c r="AP106" s="1">
        <v>2.2955765000000001</v>
      </c>
      <c r="AQ106" s="1">
        <v>821.90350999999998</v>
      </c>
      <c r="AR106" s="1">
        <v>821.90350999999998</v>
      </c>
      <c r="AS106" s="1">
        <v>205.47587999999999</v>
      </c>
      <c r="AT106" s="1">
        <v>28.766623200000002</v>
      </c>
      <c r="AU106" s="1">
        <v>0</v>
      </c>
      <c r="AV106" s="2" t="s">
        <v>69</v>
      </c>
      <c r="AW106" s="1">
        <v>684.03499999999997</v>
      </c>
      <c r="AX106" s="1">
        <f>Table1[[#This Row],[Original Commissionable GMV]]-Table1[[#This Row],[Commission ]]-Table1[[#This Row],[Commission VAT]]-Table1[[#This Row],[FreeDeliveryFund]]</f>
        <v>587.6610068</v>
      </c>
      <c r="AY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M106" s="2"/>
    </row>
    <row r="107" spans="12:65" x14ac:dyDescent="0.25">
      <c r="L107" s="2">
        <v>504016</v>
      </c>
      <c r="M107" s="2" t="s">
        <v>52</v>
      </c>
      <c r="N107" s="2">
        <v>505839</v>
      </c>
      <c r="O107" t="s">
        <v>63</v>
      </c>
      <c r="P107">
        <v>3380963063</v>
      </c>
      <c r="Q107" s="5">
        <v>46026.62400462963</v>
      </c>
      <c r="R107" s="2" t="s">
        <v>54</v>
      </c>
      <c r="S107" s="2" t="s">
        <v>51</v>
      </c>
      <c r="T107" s="2" t="s">
        <v>55</v>
      </c>
      <c r="U107" s="2" t="s">
        <v>56</v>
      </c>
      <c r="V107" s="2" t="s">
        <v>57</v>
      </c>
      <c r="W107" s="2" t="s">
        <v>58</v>
      </c>
      <c r="X107" s="2" t="s">
        <v>59</v>
      </c>
      <c r="Y107" s="1">
        <v>517.98</v>
      </c>
      <c r="Z107" s="1">
        <v>517.98</v>
      </c>
      <c r="AA107" s="1">
        <v>0</v>
      </c>
      <c r="AB107" s="1">
        <v>25.9</v>
      </c>
      <c r="AC107" s="1">
        <v>0</v>
      </c>
      <c r="AD107" s="1">
        <v>66.792280000000005</v>
      </c>
      <c r="AE107" s="1">
        <v>543.88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9.0646500000000003</v>
      </c>
      <c r="AP107" s="1">
        <v>1.2690509999999999</v>
      </c>
      <c r="AQ107" s="1">
        <v>454.36842000000001</v>
      </c>
      <c r="AR107" s="1">
        <v>454.36842000000001</v>
      </c>
      <c r="AS107" s="1">
        <v>113.59211000000001</v>
      </c>
      <c r="AT107" s="1">
        <v>15.9028954</v>
      </c>
      <c r="AU107" s="1">
        <v>29.99</v>
      </c>
      <c r="AV107" s="2" t="s">
        <v>60</v>
      </c>
      <c r="AW107" s="1">
        <v>348.161</v>
      </c>
      <c r="AX107" s="1">
        <f>Table1[[#This Row],[Original Commissionable GMV]]-Table1[[#This Row],[Commission ]]-Table1[[#This Row],[Commission VAT]]-Table1[[#This Row],[FreeDeliveryFund]]</f>
        <v>294.88341460000004</v>
      </c>
      <c r="AY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M107" s="2"/>
    </row>
    <row r="108" spans="12:65" x14ac:dyDescent="0.25">
      <c r="L108" s="2">
        <v>504016</v>
      </c>
      <c r="M108" s="2" t="s">
        <v>52</v>
      </c>
      <c r="N108" s="2">
        <v>505839</v>
      </c>
      <c r="O108" t="s">
        <v>63</v>
      </c>
      <c r="P108">
        <v>3380982867</v>
      </c>
      <c r="Q108" s="5">
        <v>46026.631678240738</v>
      </c>
      <c r="R108" s="2" t="s">
        <v>54</v>
      </c>
      <c r="S108" s="2" t="s">
        <v>51</v>
      </c>
      <c r="T108" s="2" t="s">
        <v>55</v>
      </c>
      <c r="U108" s="2" t="s">
        <v>59</v>
      </c>
      <c r="V108" s="2" t="s">
        <v>57</v>
      </c>
      <c r="W108" s="2" t="s">
        <v>58</v>
      </c>
      <c r="X108" s="2" t="s">
        <v>59</v>
      </c>
      <c r="Y108" s="1">
        <v>239.99</v>
      </c>
      <c r="Z108" s="1">
        <v>239.99</v>
      </c>
      <c r="AA108" s="1">
        <v>0</v>
      </c>
      <c r="AB108" s="1">
        <v>12</v>
      </c>
      <c r="AC108" s="1">
        <v>0</v>
      </c>
      <c r="AD108" s="1">
        <v>30.94614</v>
      </c>
      <c r="AE108" s="1">
        <v>251.99</v>
      </c>
      <c r="AG108" s="1">
        <v>0</v>
      </c>
      <c r="AH108" s="1">
        <v>0</v>
      </c>
      <c r="AI108" s="1">
        <v>132.24</v>
      </c>
      <c r="AJ108" s="1">
        <v>0</v>
      </c>
      <c r="AK108" s="1">
        <v>132.24</v>
      </c>
      <c r="AL108" s="1">
        <v>0</v>
      </c>
      <c r="AM108" s="1">
        <v>0</v>
      </c>
      <c r="AN108" s="1">
        <v>0</v>
      </c>
      <c r="AO108" s="1">
        <v>4.1998249999999997</v>
      </c>
      <c r="AP108" s="1">
        <v>0.58797549999999998</v>
      </c>
      <c r="AQ108" s="1">
        <v>210.51754</v>
      </c>
      <c r="AR108" s="1">
        <v>210.51754</v>
      </c>
      <c r="AS108" s="1">
        <v>52.629390000000001</v>
      </c>
      <c r="AT108" s="1">
        <v>7.3681146000000002</v>
      </c>
      <c r="AU108" s="1">
        <v>28.99</v>
      </c>
      <c r="AV108" s="2" t="s">
        <v>60</v>
      </c>
      <c r="AW108" s="1">
        <v>146.215</v>
      </c>
      <c r="AX108" s="1">
        <f>Table1[[#This Row],[Original Commissionable GMV]]-Table1[[#This Row],[Commission ]]-Table1[[#This Row],[Commission VAT]]-Table1[[#This Row],[FreeDeliveryFund]]</f>
        <v>121.53003539999999</v>
      </c>
      <c r="AY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M108" s="2"/>
    </row>
    <row r="109" spans="12:65" x14ac:dyDescent="0.25">
      <c r="L109" s="2">
        <v>504016</v>
      </c>
      <c r="M109" s="2" t="s">
        <v>52</v>
      </c>
      <c r="N109" s="2">
        <v>505839</v>
      </c>
      <c r="O109" t="s">
        <v>53</v>
      </c>
      <c r="P109">
        <v>3381060898</v>
      </c>
      <c r="Q109" s="5">
        <v>46026.661030092589</v>
      </c>
      <c r="R109" s="2" t="s">
        <v>62</v>
      </c>
      <c r="S109" s="2" t="s">
        <v>51</v>
      </c>
      <c r="T109" s="2" t="s">
        <v>55</v>
      </c>
      <c r="U109" s="2" t="s">
        <v>56</v>
      </c>
      <c r="V109" s="2" t="s">
        <v>57</v>
      </c>
      <c r="W109" s="2" t="s">
        <v>58</v>
      </c>
      <c r="X109" s="2" t="s">
        <v>59</v>
      </c>
      <c r="Y109" s="1">
        <v>764.98</v>
      </c>
      <c r="Z109" s="1">
        <v>764.98</v>
      </c>
      <c r="AA109" s="1">
        <v>32.99</v>
      </c>
      <c r="AB109" s="1">
        <v>29.99</v>
      </c>
      <c r="AC109" s="1">
        <v>0</v>
      </c>
      <c r="AD109" s="1">
        <v>101.6793</v>
      </c>
      <c r="AE109" s="1">
        <v>827.96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671.03508999999997</v>
      </c>
      <c r="AR109" s="1">
        <v>671.03508999999997</v>
      </c>
      <c r="AS109" s="1">
        <v>167.75877</v>
      </c>
      <c r="AT109" s="1">
        <v>23.486227800000002</v>
      </c>
      <c r="AU109" s="1">
        <v>0</v>
      </c>
      <c r="AV109" s="2" t="s">
        <v>69</v>
      </c>
      <c r="AW109" s="1">
        <v>573.73500000000001</v>
      </c>
      <c r="AX109" s="1">
        <f>Table1[[#This Row],[Original Commissionable GMV]]-Table1[[#This Row],[Commission ]]-Table1[[#This Row],[Commission VAT]]-Table1[[#This Row],[FreeDeliveryFund]]</f>
        <v>479.79009219999995</v>
      </c>
      <c r="AY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M109" s="2"/>
    </row>
    <row r="110" spans="12:65" x14ac:dyDescent="0.25">
      <c r="L110" s="2">
        <v>504016</v>
      </c>
      <c r="M110" s="2" t="s">
        <v>52</v>
      </c>
      <c r="N110" s="2">
        <v>505839</v>
      </c>
      <c r="O110" t="s">
        <v>63</v>
      </c>
      <c r="P110">
        <v>3381089528</v>
      </c>
      <c r="Q110" s="5">
        <v>46026.67150462963</v>
      </c>
      <c r="R110" s="2" t="s">
        <v>62</v>
      </c>
      <c r="S110" s="2" t="s">
        <v>51</v>
      </c>
      <c r="T110" s="2" t="s">
        <v>55</v>
      </c>
      <c r="U110" s="2" t="s">
        <v>59</v>
      </c>
      <c r="V110" s="2" t="s">
        <v>57</v>
      </c>
      <c r="W110" s="2" t="s">
        <v>58</v>
      </c>
      <c r="X110" s="2" t="s">
        <v>59</v>
      </c>
      <c r="Y110" s="1">
        <v>301.82</v>
      </c>
      <c r="Z110" s="1">
        <v>301.82</v>
      </c>
      <c r="AA110" s="1">
        <v>26.99</v>
      </c>
      <c r="AB110" s="1">
        <v>15.09</v>
      </c>
      <c r="AC110" s="1">
        <v>0</v>
      </c>
      <c r="AD110" s="1">
        <v>42.233330000000002</v>
      </c>
      <c r="AE110" s="1">
        <v>343.9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264.75439</v>
      </c>
      <c r="AR110" s="1">
        <v>264.75439</v>
      </c>
      <c r="AS110" s="1">
        <v>66.188599999999994</v>
      </c>
      <c r="AT110" s="1">
        <v>9.2664039999999996</v>
      </c>
      <c r="AU110" s="1">
        <v>0</v>
      </c>
      <c r="AV110" s="2" t="s">
        <v>69</v>
      </c>
      <c r="AW110" s="1">
        <v>226.36500000000001</v>
      </c>
      <c r="AX110" s="1">
        <f>Table1[[#This Row],[Original Commissionable GMV]]-Table1[[#This Row],[Commission ]]-Table1[[#This Row],[Commission VAT]]-Table1[[#This Row],[FreeDeliveryFund]]</f>
        <v>189.299386</v>
      </c>
      <c r="AY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M110" s="2"/>
    </row>
    <row r="111" spans="12:65" x14ac:dyDescent="0.25">
      <c r="L111" s="2">
        <v>504016</v>
      </c>
      <c r="M111" s="2" t="s">
        <v>52</v>
      </c>
      <c r="N111" s="2">
        <v>505837</v>
      </c>
      <c r="O111" t="s">
        <v>53</v>
      </c>
      <c r="P111">
        <v>3381094426</v>
      </c>
      <c r="Q111" s="5">
        <v>46026.67324074074</v>
      </c>
      <c r="R111" s="2" t="s">
        <v>54</v>
      </c>
      <c r="S111" s="2" t="s">
        <v>51</v>
      </c>
      <c r="T111" s="2" t="s">
        <v>55</v>
      </c>
      <c r="U111" s="2" t="s">
        <v>59</v>
      </c>
      <c r="V111" s="2" t="s">
        <v>57</v>
      </c>
      <c r="W111" s="2" t="s">
        <v>58</v>
      </c>
      <c r="X111" s="2" t="s">
        <v>59</v>
      </c>
      <c r="Y111" s="1">
        <v>673.98</v>
      </c>
      <c r="Z111" s="1">
        <v>673.98</v>
      </c>
      <c r="AA111" s="1">
        <v>0</v>
      </c>
      <c r="AB111" s="1">
        <v>29.99</v>
      </c>
      <c r="AC111" s="1">
        <v>0</v>
      </c>
      <c r="AD111" s="1">
        <v>86.452460000000002</v>
      </c>
      <c r="AE111" s="1">
        <v>703.97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11.794650000000001</v>
      </c>
      <c r="AP111" s="1">
        <v>1.651251</v>
      </c>
      <c r="AQ111" s="1">
        <v>591.21052999999995</v>
      </c>
      <c r="AR111" s="1">
        <v>591.21052999999995</v>
      </c>
      <c r="AS111" s="1">
        <v>147.80262999999999</v>
      </c>
      <c r="AT111" s="1">
        <v>20.692368200000001</v>
      </c>
      <c r="AU111" s="1">
        <v>32.99</v>
      </c>
      <c r="AV111" s="2" t="s">
        <v>60</v>
      </c>
      <c r="AW111" s="1">
        <v>459.04899999999998</v>
      </c>
      <c r="AX111" s="1">
        <f>Table1[[#This Row],[Original Commissionable GMV]]-Table1[[#This Row],[Commission ]]-Table1[[#This Row],[Commission VAT]]-Table1[[#This Row],[FreeDeliveryFund]]</f>
        <v>389.72553179999994</v>
      </c>
      <c r="AY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M111" s="2"/>
    </row>
    <row r="112" spans="12:65" x14ac:dyDescent="0.25">
      <c r="L112" s="2">
        <v>504016</v>
      </c>
      <c r="M112" s="2" t="s">
        <v>52</v>
      </c>
      <c r="N112" s="2">
        <v>505837</v>
      </c>
      <c r="O112" t="s">
        <v>53</v>
      </c>
      <c r="P112">
        <v>3381098297</v>
      </c>
      <c r="Q112" s="5">
        <v>46026.67460648148</v>
      </c>
      <c r="R112" s="2" t="s">
        <v>62</v>
      </c>
      <c r="S112" s="2" t="s">
        <v>51</v>
      </c>
      <c r="T112" s="2" t="s">
        <v>55</v>
      </c>
      <c r="U112" s="2" t="s">
        <v>59</v>
      </c>
      <c r="V112" s="2" t="s">
        <v>57</v>
      </c>
      <c r="W112" s="2" t="s">
        <v>58</v>
      </c>
      <c r="X112" s="2" t="s">
        <v>59</v>
      </c>
      <c r="Y112" s="1">
        <v>821.3</v>
      </c>
      <c r="Z112" s="1">
        <v>821.3</v>
      </c>
      <c r="AA112" s="1">
        <v>9</v>
      </c>
      <c r="AB112" s="1">
        <v>29.99</v>
      </c>
      <c r="AC112" s="1">
        <v>0</v>
      </c>
      <c r="AD112" s="1">
        <v>105.64964999999999</v>
      </c>
      <c r="AE112" s="1">
        <v>860.29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720.43859999999995</v>
      </c>
      <c r="AR112" s="1">
        <v>720.43859999999995</v>
      </c>
      <c r="AS112" s="1">
        <v>180.10964999999999</v>
      </c>
      <c r="AT112" s="1">
        <v>25.215350999999998</v>
      </c>
      <c r="AU112" s="1">
        <v>34.99</v>
      </c>
      <c r="AV112" s="2" t="s">
        <v>60</v>
      </c>
      <c r="AW112" s="1">
        <v>580.98500000000001</v>
      </c>
      <c r="AX112" s="1">
        <f>Table1[[#This Row],[Original Commissionable GMV]]-Table1[[#This Row],[Commission ]]-Table1[[#This Row],[Commission VAT]]-Table1[[#This Row],[FreeDeliveryFund]]</f>
        <v>480.12359900000001</v>
      </c>
      <c r="AY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M112" s="2"/>
    </row>
    <row r="113" spans="12:65" x14ac:dyDescent="0.25">
      <c r="L113" s="2">
        <v>504016</v>
      </c>
      <c r="M113" s="2" t="s">
        <v>52</v>
      </c>
      <c r="N113" s="2">
        <v>505839</v>
      </c>
      <c r="O113" t="s">
        <v>63</v>
      </c>
      <c r="P113">
        <v>3381110705</v>
      </c>
      <c r="Q113" s="5">
        <v>46026.678854166668</v>
      </c>
      <c r="R113" s="2" t="s">
        <v>54</v>
      </c>
      <c r="S113" s="2" t="s">
        <v>51</v>
      </c>
      <c r="T113" s="2" t="s">
        <v>55</v>
      </c>
      <c r="U113" s="2" t="s">
        <v>56</v>
      </c>
      <c r="V113" s="2" t="s">
        <v>57</v>
      </c>
      <c r="W113" s="2" t="s">
        <v>58</v>
      </c>
      <c r="X113" s="2" t="s">
        <v>59</v>
      </c>
      <c r="Y113" s="1">
        <v>239.99</v>
      </c>
      <c r="Z113" s="1">
        <v>239.99</v>
      </c>
      <c r="AA113" s="1">
        <v>0</v>
      </c>
      <c r="AB113" s="1">
        <v>12</v>
      </c>
      <c r="AC113" s="1">
        <v>0</v>
      </c>
      <c r="AD113" s="1">
        <v>30.94614</v>
      </c>
      <c r="AE113" s="1">
        <v>251.99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4.1998249999999997</v>
      </c>
      <c r="AP113" s="1">
        <v>0.58797549999999998</v>
      </c>
      <c r="AQ113" s="1">
        <v>210.51754</v>
      </c>
      <c r="AR113" s="1">
        <v>210.51754</v>
      </c>
      <c r="AS113" s="1">
        <v>52.629390000000001</v>
      </c>
      <c r="AT113" s="1">
        <v>7.3681146000000002</v>
      </c>
      <c r="AU113" s="1">
        <v>27.99</v>
      </c>
      <c r="AV113" s="2" t="s">
        <v>60</v>
      </c>
      <c r="AW113" s="1">
        <v>147.215</v>
      </c>
      <c r="AX113" s="1">
        <f>Table1[[#This Row],[Original Commissionable GMV]]-Table1[[#This Row],[Commission ]]-Table1[[#This Row],[Commission VAT]]-Table1[[#This Row],[FreeDeliveryFund]]</f>
        <v>122.53003539999999</v>
      </c>
      <c r="AY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M113" s="2"/>
    </row>
    <row r="114" spans="12:65" x14ac:dyDescent="0.25">
      <c r="L114" s="2">
        <v>504016</v>
      </c>
      <c r="M114" s="2" t="s">
        <v>52</v>
      </c>
      <c r="N114" s="2">
        <v>505835</v>
      </c>
      <c r="O114" t="s">
        <v>53</v>
      </c>
      <c r="P114">
        <v>3381176678</v>
      </c>
      <c r="Q114" s="5">
        <v>46026.700416666667</v>
      </c>
      <c r="R114" s="2" t="s">
        <v>66</v>
      </c>
      <c r="S114" s="2" t="s">
        <v>51</v>
      </c>
      <c r="T114" s="2" t="s">
        <v>55</v>
      </c>
      <c r="U114" s="2" t="s">
        <v>56</v>
      </c>
      <c r="V114" s="2" t="s">
        <v>57</v>
      </c>
      <c r="W114" s="2" t="s">
        <v>58</v>
      </c>
      <c r="X114" s="2" t="s">
        <v>59</v>
      </c>
      <c r="Y114" s="1">
        <v>224.99</v>
      </c>
      <c r="Z114" s="1">
        <v>224.99</v>
      </c>
      <c r="AA114" s="1">
        <v>30.99</v>
      </c>
      <c r="AB114" s="1">
        <v>11.25</v>
      </c>
      <c r="AC114" s="1">
        <v>0</v>
      </c>
      <c r="AD114" s="1">
        <v>32.817720000000001</v>
      </c>
      <c r="AE114" s="1">
        <v>267.23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3.937325</v>
      </c>
      <c r="AP114" s="1">
        <v>0.55122550000000003</v>
      </c>
      <c r="AQ114" s="1">
        <v>197.35964999999999</v>
      </c>
      <c r="AR114" s="1">
        <v>197.35964999999999</v>
      </c>
      <c r="AS114" s="1">
        <v>49.339910000000003</v>
      </c>
      <c r="AT114" s="1">
        <v>6.9075873999999997</v>
      </c>
      <c r="AU114" s="1">
        <v>0</v>
      </c>
      <c r="AV114" s="2" t="s">
        <v>69</v>
      </c>
      <c r="AW114" s="1">
        <v>164.25399999999999</v>
      </c>
      <c r="AX114" s="1">
        <f>Table1[[#This Row],[Original Commissionable GMV]]-Table1[[#This Row],[Commission ]]-Table1[[#This Row],[Commission VAT]]-Table1[[#This Row],[FreeDeliveryFund]]</f>
        <v>141.11215259999997</v>
      </c>
      <c r="AY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M114" s="2"/>
    </row>
    <row r="115" spans="12:65" x14ac:dyDescent="0.25">
      <c r="L115" s="2">
        <v>504016</v>
      </c>
      <c r="M115" s="2" t="s">
        <v>52</v>
      </c>
      <c r="N115" s="2">
        <v>505837</v>
      </c>
      <c r="O115" t="s">
        <v>63</v>
      </c>
      <c r="P115">
        <v>3381198359</v>
      </c>
      <c r="Q115" s="5">
        <v>46026.707314814812</v>
      </c>
      <c r="R115" s="2" t="s">
        <v>54</v>
      </c>
      <c r="S115" s="2" t="s">
        <v>51</v>
      </c>
      <c r="T115" s="2" t="s">
        <v>55</v>
      </c>
      <c r="U115" s="2" t="s">
        <v>56</v>
      </c>
      <c r="V115" s="2" t="s">
        <v>57</v>
      </c>
      <c r="W115" s="2" t="s">
        <v>58</v>
      </c>
      <c r="X115" s="2" t="s">
        <v>59</v>
      </c>
      <c r="Y115" s="1">
        <v>571.98</v>
      </c>
      <c r="Z115" s="1">
        <v>571.98</v>
      </c>
      <c r="AA115" s="1">
        <v>0</v>
      </c>
      <c r="AB115" s="1">
        <v>28.6</v>
      </c>
      <c r="AC115" s="1">
        <v>0</v>
      </c>
      <c r="AD115" s="1">
        <v>73.755439999999993</v>
      </c>
      <c r="AE115" s="1">
        <v>600.58000000000004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10.009650000000001</v>
      </c>
      <c r="AP115" s="1">
        <v>1.401351</v>
      </c>
      <c r="AQ115" s="1">
        <v>501.73683999999997</v>
      </c>
      <c r="AR115" s="1">
        <v>501.73683999999997</v>
      </c>
      <c r="AS115" s="1">
        <v>125.43420999999999</v>
      </c>
      <c r="AT115" s="1">
        <v>17.560789400000001</v>
      </c>
      <c r="AU115" s="1">
        <v>29.99</v>
      </c>
      <c r="AV115" s="2" t="s">
        <v>60</v>
      </c>
      <c r="AW115" s="1">
        <v>387.584</v>
      </c>
      <c r="AX115" s="1">
        <f>Table1[[#This Row],[Original Commissionable GMV]]-Table1[[#This Row],[Commission ]]-Table1[[#This Row],[Commission VAT]]-Table1[[#This Row],[FreeDeliveryFund]]</f>
        <v>328.75184059999998</v>
      </c>
      <c r="AY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M115" s="2"/>
    </row>
    <row r="116" spans="12:65" x14ac:dyDescent="0.25">
      <c r="L116" s="2">
        <v>504016</v>
      </c>
      <c r="M116" s="2" t="s">
        <v>52</v>
      </c>
      <c r="N116" s="2">
        <v>505837</v>
      </c>
      <c r="O116" t="s">
        <v>63</v>
      </c>
      <c r="P116">
        <v>3381210710</v>
      </c>
      <c r="Q116" s="5">
        <v>46026.711226851854</v>
      </c>
      <c r="R116" s="2" t="s">
        <v>62</v>
      </c>
      <c r="S116" s="2" t="s">
        <v>51</v>
      </c>
      <c r="T116" s="2" t="s">
        <v>55</v>
      </c>
      <c r="U116" s="2" t="s">
        <v>56</v>
      </c>
      <c r="V116" s="2" t="s">
        <v>57</v>
      </c>
      <c r="W116" s="2" t="s">
        <v>58</v>
      </c>
      <c r="X116" s="2" t="s">
        <v>59</v>
      </c>
      <c r="Y116" s="1">
        <v>526.98</v>
      </c>
      <c r="Z116" s="1">
        <v>526.98</v>
      </c>
      <c r="AA116" s="1">
        <v>0</v>
      </c>
      <c r="AB116" s="1">
        <v>26.35</v>
      </c>
      <c r="AC116" s="1">
        <v>0</v>
      </c>
      <c r="AD116" s="1">
        <v>49.531750000000002</v>
      </c>
      <c r="AE116" s="1">
        <v>403.33</v>
      </c>
      <c r="AG116" s="1">
        <v>0</v>
      </c>
      <c r="AH116" s="1">
        <v>150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462.26316000000003</v>
      </c>
      <c r="AR116" s="1">
        <v>462.26316000000003</v>
      </c>
      <c r="AS116" s="1">
        <v>115.56579000000001</v>
      </c>
      <c r="AT116" s="1">
        <v>16.179210600000001</v>
      </c>
      <c r="AU116" s="1">
        <v>27.99</v>
      </c>
      <c r="AV116" s="2" t="s">
        <v>60</v>
      </c>
      <c r="AW116" s="1">
        <v>367.245</v>
      </c>
      <c r="AX116" s="1">
        <f>Table1[[#This Row],[Original Commissionable GMV]]-Table1[[#This Row],[Commission ]]-Table1[[#This Row],[Commission VAT]]-Table1[[#This Row],[FreeDeliveryFund]]</f>
        <v>302.52815940000005</v>
      </c>
      <c r="AY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M116" s="2"/>
    </row>
    <row r="117" spans="12:65" x14ac:dyDescent="0.25">
      <c r="L117" s="2">
        <v>504016</v>
      </c>
      <c r="M117" s="2" t="s">
        <v>52</v>
      </c>
      <c r="N117" s="2">
        <v>505839</v>
      </c>
      <c r="O117" t="s">
        <v>53</v>
      </c>
      <c r="P117">
        <v>3381303763</v>
      </c>
      <c r="Q117" s="5">
        <v>46026.739398148151</v>
      </c>
      <c r="R117" s="2" t="s">
        <v>54</v>
      </c>
      <c r="S117" s="2" t="s">
        <v>51</v>
      </c>
      <c r="T117" s="2" t="s">
        <v>55</v>
      </c>
      <c r="U117" s="2" t="s">
        <v>59</v>
      </c>
      <c r="V117" s="2" t="s">
        <v>57</v>
      </c>
      <c r="W117" s="2" t="s">
        <v>58</v>
      </c>
      <c r="X117" s="2" t="s">
        <v>59</v>
      </c>
      <c r="Y117" s="1">
        <v>767.99</v>
      </c>
      <c r="Z117" s="1">
        <v>767.99</v>
      </c>
      <c r="AA117" s="1">
        <v>0</v>
      </c>
      <c r="AB117" s="1">
        <v>29.99</v>
      </c>
      <c r="AC117" s="1">
        <v>0</v>
      </c>
      <c r="AD117" s="1">
        <v>97.997540000000001</v>
      </c>
      <c r="AE117" s="1">
        <v>797.98</v>
      </c>
      <c r="AG117" s="1">
        <v>0</v>
      </c>
      <c r="AH117" s="1">
        <v>0</v>
      </c>
      <c r="AI117" s="1">
        <v>0</v>
      </c>
      <c r="AJ117" s="1">
        <v>70</v>
      </c>
      <c r="AK117" s="1">
        <v>0</v>
      </c>
      <c r="AL117" s="1">
        <v>0</v>
      </c>
      <c r="AM117" s="1">
        <v>0</v>
      </c>
      <c r="AN117" s="1">
        <v>0</v>
      </c>
      <c r="AO117" s="1">
        <v>13.439825000000001</v>
      </c>
      <c r="AP117" s="1">
        <v>1.8815755000000001</v>
      </c>
      <c r="AQ117" s="1">
        <v>673.67543999999998</v>
      </c>
      <c r="AR117" s="1">
        <v>673.67543999999998</v>
      </c>
      <c r="AS117" s="1">
        <v>168.41886</v>
      </c>
      <c r="AT117" s="1">
        <v>23.578640400000001</v>
      </c>
      <c r="AU117" s="1">
        <v>33.99</v>
      </c>
      <c r="AV117" s="2" t="s">
        <v>60</v>
      </c>
      <c r="AW117" s="1">
        <v>526.68100000000004</v>
      </c>
      <c r="AX117" s="1">
        <f>Table1[[#This Row],[Original Commissionable GMV]]-Table1[[#This Row],[Commission ]]-Table1[[#This Row],[Commission VAT]]-Table1[[#This Row],[FreeDeliveryFund]]</f>
        <v>447.68793959999999</v>
      </c>
      <c r="AY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M117" s="2"/>
    </row>
    <row r="118" spans="12:65" x14ac:dyDescent="0.25">
      <c r="L118" s="2">
        <v>504016</v>
      </c>
      <c r="M118" s="2" t="s">
        <v>52</v>
      </c>
      <c r="N118" s="2">
        <v>505835</v>
      </c>
      <c r="O118" t="s">
        <v>53</v>
      </c>
      <c r="P118">
        <v>3381309661</v>
      </c>
      <c r="Q118" s="5">
        <v>46026.74114583333</v>
      </c>
      <c r="R118" s="2" t="s">
        <v>54</v>
      </c>
      <c r="S118" s="2" t="s">
        <v>51</v>
      </c>
      <c r="T118" s="2" t="s">
        <v>55</v>
      </c>
      <c r="U118" s="2" t="s">
        <v>56</v>
      </c>
      <c r="V118" s="2" t="s">
        <v>57</v>
      </c>
      <c r="W118" s="2" t="s">
        <v>58</v>
      </c>
      <c r="X118" s="2" t="s">
        <v>59</v>
      </c>
      <c r="Y118" s="1">
        <v>209.99</v>
      </c>
      <c r="Z118" s="1">
        <v>209.99</v>
      </c>
      <c r="AA118" s="1">
        <v>0</v>
      </c>
      <c r="AB118" s="1">
        <v>10.5</v>
      </c>
      <c r="AC118" s="1">
        <v>0</v>
      </c>
      <c r="AD118" s="1">
        <v>27.077719999999999</v>
      </c>
      <c r="AE118" s="1">
        <v>220.49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3.6748249999999998</v>
      </c>
      <c r="AP118" s="1">
        <v>0.51447549999999997</v>
      </c>
      <c r="AQ118" s="1">
        <v>184.20175</v>
      </c>
      <c r="AR118" s="1">
        <v>184.20175</v>
      </c>
      <c r="AS118" s="1">
        <v>46.050440000000002</v>
      </c>
      <c r="AT118" s="1">
        <v>6.4470615999999996</v>
      </c>
      <c r="AU118" s="1">
        <v>32.99</v>
      </c>
      <c r="AV118" s="2" t="s">
        <v>60</v>
      </c>
      <c r="AW118" s="1">
        <v>120.313</v>
      </c>
      <c r="AX118" s="1">
        <f>Table1[[#This Row],[Original Commissionable GMV]]-Table1[[#This Row],[Commission ]]-Table1[[#This Row],[Commission VAT]]-Table1[[#This Row],[FreeDeliveryFund]]</f>
        <v>98.714248399999974</v>
      </c>
      <c r="AY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M118" s="2"/>
    </row>
    <row r="119" spans="12:65" x14ac:dyDescent="0.25">
      <c r="L119" s="2">
        <v>504016</v>
      </c>
      <c r="M119" s="2" t="s">
        <v>52</v>
      </c>
      <c r="N119" s="2">
        <v>505837</v>
      </c>
      <c r="O119" t="s">
        <v>53</v>
      </c>
      <c r="P119">
        <v>3381312088</v>
      </c>
      <c r="Q119" s="5">
        <v>46026.741863425923</v>
      </c>
      <c r="R119" s="2" t="s">
        <v>54</v>
      </c>
      <c r="S119" s="2" t="s">
        <v>51</v>
      </c>
      <c r="T119" s="2" t="s">
        <v>55</v>
      </c>
      <c r="U119" s="2" t="s">
        <v>56</v>
      </c>
      <c r="V119" s="2" t="s">
        <v>57</v>
      </c>
      <c r="W119" s="2" t="s">
        <v>58</v>
      </c>
      <c r="X119" s="2" t="s">
        <v>59</v>
      </c>
      <c r="Y119" s="1">
        <v>899.98</v>
      </c>
      <c r="Z119" s="1">
        <v>899.98</v>
      </c>
      <c r="AA119" s="1">
        <v>9</v>
      </c>
      <c r="AB119" s="1">
        <v>29.99</v>
      </c>
      <c r="AC119" s="1">
        <v>0</v>
      </c>
      <c r="AD119" s="1">
        <v>115.31211</v>
      </c>
      <c r="AE119" s="1">
        <v>938.97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15.749650000000001</v>
      </c>
      <c r="AP119" s="1">
        <v>2.2049509999999999</v>
      </c>
      <c r="AQ119" s="1">
        <v>789.45614</v>
      </c>
      <c r="AR119" s="1">
        <v>789.45614</v>
      </c>
      <c r="AS119" s="1">
        <v>197.36403999999999</v>
      </c>
      <c r="AT119" s="1">
        <v>27.6309656</v>
      </c>
      <c r="AU119" s="1">
        <v>30.99</v>
      </c>
      <c r="AV119" s="2" t="s">
        <v>60</v>
      </c>
      <c r="AW119" s="1">
        <v>626.04</v>
      </c>
      <c r="AX119" s="1">
        <f>Table1[[#This Row],[Original Commissionable GMV]]-Table1[[#This Row],[Commission ]]-Table1[[#This Row],[Commission VAT]]-Table1[[#This Row],[FreeDeliveryFund]]</f>
        <v>533.4711344000001</v>
      </c>
      <c r="AY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M119" s="2"/>
    </row>
    <row r="120" spans="12:65" x14ac:dyDescent="0.25">
      <c r="L120" s="2">
        <v>504016</v>
      </c>
      <c r="M120" s="2" t="s">
        <v>52</v>
      </c>
      <c r="N120" s="2">
        <v>505839</v>
      </c>
      <c r="O120" t="s">
        <v>63</v>
      </c>
      <c r="P120">
        <v>3381326392</v>
      </c>
      <c r="Q120" s="5">
        <v>46026.746006944442</v>
      </c>
      <c r="R120" s="2" t="s">
        <v>54</v>
      </c>
      <c r="S120" s="2" t="s">
        <v>51</v>
      </c>
      <c r="T120" s="2" t="s">
        <v>55</v>
      </c>
      <c r="U120" s="2" t="s">
        <v>56</v>
      </c>
      <c r="V120" s="2" t="s">
        <v>57</v>
      </c>
      <c r="W120" s="2" t="s">
        <v>58</v>
      </c>
      <c r="X120" s="2" t="s">
        <v>59</v>
      </c>
      <c r="Y120" s="1">
        <v>445.99</v>
      </c>
      <c r="Z120" s="1">
        <v>445.99</v>
      </c>
      <c r="AA120" s="1">
        <v>33.99</v>
      </c>
      <c r="AB120" s="1">
        <v>22.3</v>
      </c>
      <c r="AC120" s="1">
        <v>0</v>
      </c>
      <c r="AD120" s="1">
        <v>61.683509999999998</v>
      </c>
      <c r="AE120" s="1">
        <v>502.28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7.8048250000000001</v>
      </c>
      <c r="AP120" s="1">
        <v>1.0926754999999999</v>
      </c>
      <c r="AQ120" s="1">
        <v>391.21929999999998</v>
      </c>
      <c r="AR120" s="1">
        <v>391.21929999999998</v>
      </c>
      <c r="AS120" s="1">
        <v>97.804829999999995</v>
      </c>
      <c r="AT120" s="1">
        <v>13.692676199999999</v>
      </c>
      <c r="AU120" s="1">
        <v>0</v>
      </c>
      <c r="AV120" s="2" t="s">
        <v>69</v>
      </c>
      <c r="AW120" s="1">
        <v>325.59500000000003</v>
      </c>
      <c r="AX120" s="1">
        <f>Table1[[#This Row],[Original Commissionable GMV]]-Table1[[#This Row],[Commission ]]-Table1[[#This Row],[Commission VAT]]-Table1[[#This Row],[FreeDeliveryFund]]</f>
        <v>279.7217938</v>
      </c>
      <c r="AY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M120" s="2"/>
    </row>
    <row r="121" spans="12:65" x14ac:dyDescent="0.25">
      <c r="L121" s="2">
        <v>504016</v>
      </c>
      <c r="M121" s="2" t="s">
        <v>52</v>
      </c>
      <c r="N121" s="2">
        <v>505839</v>
      </c>
      <c r="O121" t="s">
        <v>65</v>
      </c>
      <c r="P121">
        <v>3381409619</v>
      </c>
      <c r="Q121" s="5">
        <v>46026.76971064815</v>
      </c>
      <c r="R121" s="2" t="s">
        <v>54</v>
      </c>
      <c r="S121" s="2" t="s">
        <v>51</v>
      </c>
      <c r="T121" s="2" t="s">
        <v>55</v>
      </c>
      <c r="U121" s="2" t="s">
        <v>56</v>
      </c>
      <c r="V121" s="2" t="s">
        <v>57</v>
      </c>
      <c r="W121" s="2" t="s">
        <v>58</v>
      </c>
      <c r="X121" s="2" t="s">
        <v>59</v>
      </c>
      <c r="Y121" s="1">
        <v>683.98</v>
      </c>
      <c r="Z121" s="1">
        <v>683.98</v>
      </c>
      <c r="AA121" s="1">
        <v>28.99</v>
      </c>
      <c r="AB121" s="1">
        <v>29.99</v>
      </c>
      <c r="AC121" s="1">
        <v>0</v>
      </c>
      <c r="AD121" s="1">
        <v>91.240700000000004</v>
      </c>
      <c r="AE121" s="1">
        <v>742.96</v>
      </c>
      <c r="AG121" s="1">
        <v>0</v>
      </c>
      <c r="AH121" s="1">
        <v>0</v>
      </c>
      <c r="AI121" s="1">
        <v>132.24</v>
      </c>
      <c r="AJ121" s="1">
        <v>0</v>
      </c>
      <c r="AK121" s="1">
        <v>132.24</v>
      </c>
      <c r="AL121" s="1">
        <v>0</v>
      </c>
      <c r="AM121" s="1">
        <v>0</v>
      </c>
      <c r="AN121" s="1">
        <v>0</v>
      </c>
      <c r="AO121" s="1">
        <v>11.96965</v>
      </c>
      <c r="AP121" s="1">
        <v>1.675751</v>
      </c>
      <c r="AQ121" s="1">
        <v>599.98245999999995</v>
      </c>
      <c r="AR121" s="1">
        <v>599.98245999999995</v>
      </c>
      <c r="AS121" s="1">
        <v>149.99562</v>
      </c>
      <c r="AT121" s="1">
        <v>20.9993868</v>
      </c>
      <c r="AU121" s="1">
        <v>0</v>
      </c>
      <c r="AV121" s="2" t="s">
        <v>69</v>
      </c>
      <c r="AW121" s="1">
        <v>499.34</v>
      </c>
      <c r="AX121" s="1">
        <f>Table1[[#This Row],[Original Commissionable GMV]]-Table1[[#This Row],[Commission ]]-Table1[[#This Row],[Commission VAT]]-Table1[[#This Row],[FreeDeliveryFund]]</f>
        <v>428.98745319999989</v>
      </c>
      <c r="AY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M121" s="2"/>
    </row>
    <row r="122" spans="12:65" x14ac:dyDescent="0.25">
      <c r="L122" s="2">
        <v>504016</v>
      </c>
      <c r="M122" s="2" t="s">
        <v>52</v>
      </c>
      <c r="N122" s="2">
        <v>505835</v>
      </c>
      <c r="O122" t="s">
        <v>53</v>
      </c>
      <c r="P122">
        <v>3381456451</v>
      </c>
      <c r="Q122" s="5">
        <v>46026.783229166664</v>
      </c>
      <c r="R122" s="2" t="s">
        <v>54</v>
      </c>
      <c r="S122" s="2" t="s">
        <v>51</v>
      </c>
      <c r="T122" s="2" t="s">
        <v>55</v>
      </c>
      <c r="U122" s="2" t="s">
        <v>56</v>
      </c>
      <c r="V122" s="2" t="s">
        <v>57</v>
      </c>
      <c r="W122" s="2" t="s">
        <v>58</v>
      </c>
      <c r="X122" s="2" t="s">
        <v>59</v>
      </c>
      <c r="Y122" s="1">
        <v>384.99</v>
      </c>
      <c r="Z122" s="1">
        <v>384.99</v>
      </c>
      <c r="AA122" s="1">
        <v>0</v>
      </c>
      <c r="AB122" s="1">
        <v>19.25</v>
      </c>
      <c r="AC122" s="1">
        <v>0</v>
      </c>
      <c r="AD122" s="1">
        <v>49.643509999999999</v>
      </c>
      <c r="AE122" s="1">
        <v>404.24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6.7373250000000002</v>
      </c>
      <c r="AP122" s="1">
        <v>0.94322550000000005</v>
      </c>
      <c r="AQ122" s="1">
        <v>337.71053000000001</v>
      </c>
      <c r="AR122" s="1">
        <v>337.71053000000001</v>
      </c>
      <c r="AS122" s="1">
        <v>84.427629999999994</v>
      </c>
      <c r="AT122" s="1">
        <v>11.8198682</v>
      </c>
      <c r="AU122" s="1">
        <v>30.99</v>
      </c>
      <c r="AV122" s="2" t="s">
        <v>60</v>
      </c>
      <c r="AW122" s="1">
        <v>250.072</v>
      </c>
      <c r="AX122" s="1">
        <f>Table1[[#This Row],[Original Commissionable GMV]]-Table1[[#This Row],[Commission ]]-Table1[[#This Row],[Commission VAT]]-Table1[[#This Row],[FreeDeliveryFund]]</f>
        <v>210.4730318</v>
      </c>
      <c r="AY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M122" s="2"/>
    </row>
    <row r="123" spans="12:65" x14ac:dyDescent="0.25">
      <c r="L123" s="2">
        <v>504016</v>
      </c>
      <c r="M123" s="2" t="s">
        <v>52</v>
      </c>
      <c r="N123" s="2">
        <v>505839</v>
      </c>
      <c r="O123" t="s">
        <v>53</v>
      </c>
      <c r="P123">
        <v>3381483750</v>
      </c>
      <c r="Q123" s="5">
        <v>46026.79115740741</v>
      </c>
      <c r="R123" s="2" t="s">
        <v>54</v>
      </c>
      <c r="S123" s="2" t="s">
        <v>51</v>
      </c>
      <c r="T123" s="2" t="s">
        <v>55</v>
      </c>
      <c r="U123" s="2" t="s">
        <v>59</v>
      </c>
      <c r="V123" s="2" t="s">
        <v>57</v>
      </c>
      <c r="W123" s="2" t="s">
        <v>58</v>
      </c>
      <c r="X123" s="2" t="s">
        <v>59</v>
      </c>
      <c r="Y123" s="1">
        <v>734.97</v>
      </c>
      <c r="Z123" s="1">
        <v>734.97</v>
      </c>
      <c r="AA123" s="1">
        <v>9</v>
      </c>
      <c r="AB123" s="1">
        <v>29.99</v>
      </c>
      <c r="AC123" s="1">
        <v>0</v>
      </c>
      <c r="AD123" s="1">
        <v>95.047719999999998</v>
      </c>
      <c r="AE123" s="1">
        <v>773.96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12.861974999999999</v>
      </c>
      <c r="AP123" s="1">
        <v>1.8006765</v>
      </c>
      <c r="AQ123" s="1">
        <v>644.71052999999995</v>
      </c>
      <c r="AR123" s="1">
        <v>644.71052999999995</v>
      </c>
      <c r="AS123" s="1">
        <v>161.17762999999999</v>
      </c>
      <c r="AT123" s="1">
        <v>22.564868199999999</v>
      </c>
      <c r="AU123" s="1">
        <v>31.99</v>
      </c>
      <c r="AV123" s="2" t="s">
        <v>60</v>
      </c>
      <c r="AW123" s="1">
        <v>504.57499999999999</v>
      </c>
      <c r="AX123" s="1">
        <f>Table1[[#This Row],[Original Commissionable GMV]]-Table1[[#This Row],[Commission ]]-Table1[[#This Row],[Commission VAT]]-Table1[[#This Row],[FreeDeliveryFund]]</f>
        <v>428.97803179999994</v>
      </c>
      <c r="AY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M123" s="2"/>
    </row>
    <row r="124" spans="12:65" x14ac:dyDescent="0.25">
      <c r="L124" s="2">
        <v>504016</v>
      </c>
      <c r="M124" s="2" t="s">
        <v>52</v>
      </c>
      <c r="N124" s="2">
        <v>505837</v>
      </c>
      <c r="O124" t="s">
        <v>53</v>
      </c>
      <c r="P124">
        <v>3381520924</v>
      </c>
      <c r="Q124" s="5">
        <v>46026.80195601852</v>
      </c>
      <c r="R124" s="2" t="s">
        <v>62</v>
      </c>
      <c r="S124" s="2" t="s">
        <v>51</v>
      </c>
      <c r="T124" s="2" t="s">
        <v>55</v>
      </c>
      <c r="U124" s="2" t="s">
        <v>56</v>
      </c>
      <c r="V124" s="2" t="s">
        <v>57</v>
      </c>
      <c r="W124" s="2" t="s">
        <v>58</v>
      </c>
      <c r="X124" s="2" t="s">
        <v>59</v>
      </c>
      <c r="Y124" s="1">
        <v>317.14999999999998</v>
      </c>
      <c r="Z124" s="1">
        <v>317.14999999999998</v>
      </c>
      <c r="AA124" s="1">
        <v>9</v>
      </c>
      <c r="AB124" s="1">
        <v>15.86</v>
      </c>
      <c r="AC124" s="1">
        <v>0</v>
      </c>
      <c r="AD124" s="1">
        <v>42.00123</v>
      </c>
      <c r="AE124" s="1">
        <v>342.01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278.20175</v>
      </c>
      <c r="AR124" s="1">
        <v>278.20175</v>
      </c>
      <c r="AS124" s="1">
        <v>69.550439999999995</v>
      </c>
      <c r="AT124" s="1">
        <v>9.7370616000000005</v>
      </c>
      <c r="AU124" s="1">
        <v>30.99</v>
      </c>
      <c r="AV124" s="2" t="s">
        <v>60</v>
      </c>
      <c r="AW124" s="1">
        <v>206.87200000000001</v>
      </c>
      <c r="AX124" s="1">
        <f>Table1[[#This Row],[Original Commissionable GMV]]-Table1[[#This Row],[Commission ]]-Table1[[#This Row],[Commission VAT]]-Table1[[#This Row],[FreeDeliveryFund]]</f>
        <v>167.92424840000001</v>
      </c>
      <c r="AY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M124" s="2"/>
    </row>
    <row r="125" spans="12:65" x14ac:dyDescent="0.25">
      <c r="L125" s="2">
        <v>504016</v>
      </c>
      <c r="M125" s="2" t="s">
        <v>52</v>
      </c>
      <c r="N125" s="2">
        <v>505839</v>
      </c>
      <c r="O125" t="s">
        <v>53</v>
      </c>
      <c r="P125">
        <v>3381558373</v>
      </c>
      <c r="Q125" s="5">
        <v>46026.812939814816</v>
      </c>
      <c r="R125" s="2" t="s">
        <v>54</v>
      </c>
      <c r="S125" s="2" t="s">
        <v>51</v>
      </c>
      <c r="T125" s="2" t="s">
        <v>55</v>
      </c>
      <c r="U125" s="2" t="s">
        <v>59</v>
      </c>
      <c r="V125" s="2" t="s">
        <v>57</v>
      </c>
      <c r="W125" s="2" t="s">
        <v>58</v>
      </c>
      <c r="X125" s="2" t="s">
        <v>59</v>
      </c>
      <c r="Y125" s="1">
        <v>692.48</v>
      </c>
      <c r="Z125" s="1">
        <v>692.48</v>
      </c>
      <c r="AA125" s="1">
        <v>31.99</v>
      </c>
      <c r="AB125" s="1">
        <v>29.99</v>
      </c>
      <c r="AC125" s="1">
        <v>0</v>
      </c>
      <c r="AD125" s="1">
        <v>92.652979999999999</v>
      </c>
      <c r="AE125" s="1">
        <v>754.46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12.118399999999999</v>
      </c>
      <c r="AP125" s="1">
        <v>1.6965760000000001</v>
      </c>
      <c r="AQ125" s="1">
        <v>607.43859999999995</v>
      </c>
      <c r="AR125" s="1">
        <v>607.43859999999995</v>
      </c>
      <c r="AS125" s="1">
        <v>151.85964999999999</v>
      </c>
      <c r="AT125" s="1">
        <v>21.260351</v>
      </c>
      <c r="AU125" s="1">
        <v>0</v>
      </c>
      <c r="AV125" s="2" t="s">
        <v>69</v>
      </c>
      <c r="AW125" s="1">
        <v>505.54500000000002</v>
      </c>
      <c r="AX125" s="1">
        <f>Table1[[#This Row],[Original Commissionable GMV]]-Table1[[#This Row],[Commission ]]-Table1[[#This Row],[Commission VAT]]-Table1[[#This Row],[FreeDeliveryFund]]</f>
        <v>434.31859899999995</v>
      </c>
      <c r="AY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M125" s="2"/>
    </row>
    <row r="126" spans="12:65" x14ac:dyDescent="0.25">
      <c r="L126" s="2">
        <v>504016</v>
      </c>
      <c r="M126" s="2" t="s">
        <v>52</v>
      </c>
      <c r="N126" s="2">
        <v>505837</v>
      </c>
      <c r="O126" t="s">
        <v>63</v>
      </c>
      <c r="P126">
        <v>3381566973</v>
      </c>
      <c r="Q126" s="5">
        <v>46026.815428240741</v>
      </c>
      <c r="R126" s="2" t="s">
        <v>54</v>
      </c>
      <c r="S126" s="2" t="s">
        <v>51</v>
      </c>
      <c r="T126" s="2" t="s">
        <v>55</v>
      </c>
      <c r="U126" s="2" t="s">
        <v>56</v>
      </c>
      <c r="V126" s="2" t="s">
        <v>57</v>
      </c>
      <c r="W126" s="2" t="s">
        <v>58</v>
      </c>
      <c r="X126" s="2" t="s">
        <v>59</v>
      </c>
      <c r="Y126" s="1">
        <v>1023.96</v>
      </c>
      <c r="Z126" s="1">
        <v>1023.96</v>
      </c>
      <c r="AA126" s="1">
        <v>0</v>
      </c>
      <c r="AB126" s="1">
        <v>29.99</v>
      </c>
      <c r="AC126" s="1">
        <v>0</v>
      </c>
      <c r="AD126" s="1">
        <v>129.43245999999999</v>
      </c>
      <c r="AE126" s="1">
        <v>1053.95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17.9193</v>
      </c>
      <c r="AP126" s="1">
        <v>2.508702</v>
      </c>
      <c r="AQ126" s="1">
        <v>898.21052999999995</v>
      </c>
      <c r="AR126" s="1">
        <v>898.21052999999995</v>
      </c>
      <c r="AS126" s="1">
        <v>224.55262999999999</v>
      </c>
      <c r="AT126" s="1">
        <v>31.437368200000002</v>
      </c>
      <c r="AU126" s="1">
        <v>26.99</v>
      </c>
      <c r="AV126" s="2" t="s">
        <v>60</v>
      </c>
      <c r="AW126" s="1">
        <v>720.55200000000002</v>
      </c>
      <c r="AX126" s="1">
        <f>Table1[[#This Row],[Original Commissionable GMV]]-Table1[[#This Row],[Commission ]]-Table1[[#This Row],[Commission VAT]]-Table1[[#This Row],[FreeDeliveryFund]]</f>
        <v>615.23053179999988</v>
      </c>
      <c r="AY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M126" s="2"/>
    </row>
    <row r="127" spans="12:65" x14ac:dyDescent="0.25">
      <c r="L127" s="2">
        <v>504016</v>
      </c>
      <c r="M127" s="2" t="s">
        <v>52</v>
      </c>
      <c r="N127" s="2">
        <v>505837</v>
      </c>
      <c r="O127" t="s">
        <v>53</v>
      </c>
      <c r="P127">
        <v>3381613972</v>
      </c>
      <c r="Q127" s="5">
        <v>46026.829375000001</v>
      </c>
      <c r="R127" s="2" t="s">
        <v>54</v>
      </c>
      <c r="S127" s="2" t="s">
        <v>51</v>
      </c>
      <c r="T127" s="2" t="s">
        <v>55</v>
      </c>
      <c r="U127" s="2" t="s">
        <v>59</v>
      </c>
      <c r="V127" s="2" t="s">
        <v>57</v>
      </c>
      <c r="W127" s="2" t="s">
        <v>58</v>
      </c>
      <c r="X127" s="2" t="s">
        <v>59</v>
      </c>
      <c r="Y127" s="1">
        <v>515.98</v>
      </c>
      <c r="Z127" s="1">
        <v>515.98</v>
      </c>
      <c r="AA127" s="1">
        <v>0</v>
      </c>
      <c r="AB127" s="1">
        <v>25.8</v>
      </c>
      <c r="AC127" s="1">
        <v>0</v>
      </c>
      <c r="AD127" s="1">
        <v>66.534390000000002</v>
      </c>
      <c r="AE127" s="1">
        <v>541.78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9.0296500000000002</v>
      </c>
      <c r="AP127" s="1">
        <v>1.264151</v>
      </c>
      <c r="AQ127" s="1">
        <v>452.61403999999999</v>
      </c>
      <c r="AR127" s="1">
        <v>452.61403999999999</v>
      </c>
      <c r="AS127" s="1">
        <v>113.15351</v>
      </c>
      <c r="AT127" s="1">
        <v>15.841491400000001</v>
      </c>
      <c r="AU127" s="1">
        <v>32.99</v>
      </c>
      <c r="AV127" s="2" t="s">
        <v>60</v>
      </c>
      <c r="AW127" s="1">
        <v>343.70100000000002</v>
      </c>
      <c r="AX127" s="1">
        <f>Table1[[#This Row],[Original Commissionable GMV]]-Table1[[#This Row],[Commission ]]-Table1[[#This Row],[Commission VAT]]-Table1[[#This Row],[FreeDeliveryFund]]</f>
        <v>290.6290386</v>
      </c>
      <c r="AY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M127" s="2"/>
    </row>
    <row r="128" spans="12:65" x14ac:dyDescent="0.25">
      <c r="L128" s="2">
        <v>504016</v>
      </c>
      <c r="M128" s="2" t="s">
        <v>52</v>
      </c>
      <c r="N128" s="2">
        <v>505839</v>
      </c>
      <c r="O128" t="s">
        <v>53</v>
      </c>
      <c r="P128">
        <v>3381720105</v>
      </c>
      <c r="Q128" s="5">
        <v>46026.863055555557</v>
      </c>
      <c r="R128" s="2" t="s">
        <v>62</v>
      </c>
      <c r="S128" s="2" t="s">
        <v>51</v>
      </c>
      <c r="T128" s="2" t="s">
        <v>55</v>
      </c>
      <c r="U128" s="2" t="s">
        <v>59</v>
      </c>
      <c r="V128" s="2" t="s">
        <v>57</v>
      </c>
      <c r="W128" s="2" t="s">
        <v>58</v>
      </c>
      <c r="X128" s="2" t="s">
        <v>59</v>
      </c>
      <c r="Y128" s="1">
        <v>642.97</v>
      </c>
      <c r="Z128" s="1">
        <v>642.97</v>
      </c>
      <c r="AA128" s="1">
        <v>0</v>
      </c>
      <c r="AB128" s="1">
        <v>29.99</v>
      </c>
      <c r="AC128" s="1">
        <v>0</v>
      </c>
      <c r="AD128" s="1">
        <v>82.644210000000001</v>
      </c>
      <c r="AE128" s="1">
        <v>672.96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564.00877000000003</v>
      </c>
      <c r="AR128" s="1">
        <v>564.00877000000003</v>
      </c>
      <c r="AS128" s="1">
        <v>141.00219000000001</v>
      </c>
      <c r="AT128" s="1">
        <v>19.7403066</v>
      </c>
      <c r="AU128" s="1">
        <v>36.99</v>
      </c>
      <c r="AV128" s="2" t="s">
        <v>60</v>
      </c>
      <c r="AW128" s="1">
        <v>445.238</v>
      </c>
      <c r="AX128" s="1">
        <f>Table1[[#This Row],[Original Commissionable GMV]]-Table1[[#This Row],[Commission ]]-Table1[[#This Row],[Commission VAT]]-Table1[[#This Row],[FreeDeliveryFund]]</f>
        <v>366.27627339999998</v>
      </c>
      <c r="AY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M128" s="2"/>
    </row>
    <row r="129" spans="12:65" x14ac:dyDescent="0.25">
      <c r="L129" s="2">
        <v>504016</v>
      </c>
      <c r="M129" s="2" t="s">
        <v>52</v>
      </c>
      <c r="N129" s="2">
        <v>505837</v>
      </c>
      <c r="O129" t="s">
        <v>53</v>
      </c>
      <c r="P129">
        <v>3381727180</v>
      </c>
      <c r="Q129" s="5">
        <v>46026.865416666667</v>
      </c>
      <c r="R129" s="2" t="s">
        <v>62</v>
      </c>
      <c r="S129" s="2" t="s">
        <v>51</v>
      </c>
      <c r="T129" s="2" t="s">
        <v>55</v>
      </c>
      <c r="U129" s="2" t="s">
        <v>59</v>
      </c>
      <c r="V129" s="2" t="s">
        <v>57</v>
      </c>
      <c r="W129" s="2" t="s">
        <v>58</v>
      </c>
      <c r="X129" s="2" t="s">
        <v>59</v>
      </c>
      <c r="Y129" s="1">
        <v>770.64</v>
      </c>
      <c r="Z129" s="1">
        <v>770.64</v>
      </c>
      <c r="AA129" s="1">
        <v>32.99</v>
      </c>
      <c r="AB129" s="1">
        <v>29.99</v>
      </c>
      <c r="AC129" s="1">
        <v>0</v>
      </c>
      <c r="AD129" s="1">
        <v>102.37439000000001</v>
      </c>
      <c r="AE129" s="1">
        <v>833.62</v>
      </c>
      <c r="AG129" s="1">
        <v>0</v>
      </c>
      <c r="AH129" s="1">
        <v>0</v>
      </c>
      <c r="AI129" s="1">
        <v>0</v>
      </c>
      <c r="AJ129" s="1">
        <v>50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676</v>
      </c>
      <c r="AR129" s="1">
        <v>676</v>
      </c>
      <c r="AS129" s="1">
        <v>169</v>
      </c>
      <c r="AT129" s="1">
        <v>23.66</v>
      </c>
      <c r="AU129" s="1">
        <v>0</v>
      </c>
      <c r="AV129" s="2" t="s">
        <v>69</v>
      </c>
      <c r="AW129" s="1">
        <v>577.98</v>
      </c>
      <c r="AX129" s="1">
        <f>Table1[[#This Row],[Original Commissionable GMV]]-Table1[[#This Row],[Commission ]]-Table1[[#This Row],[Commission VAT]]-Table1[[#This Row],[FreeDeliveryFund]]</f>
        <v>483.34</v>
      </c>
      <c r="AY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M129" s="2"/>
    </row>
    <row r="130" spans="12:65" x14ac:dyDescent="0.25">
      <c r="L130" s="2">
        <v>504016</v>
      </c>
      <c r="M130" s="2" t="s">
        <v>52</v>
      </c>
      <c r="N130" s="2">
        <v>505837</v>
      </c>
      <c r="O130" t="s">
        <v>53</v>
      </c>
      <c r="P130">
        <v>3381837242</v>
      </c>
      <c r="Q130" s="5">
        <v>46026.906076388892</v>
      </c>
      <c r="R130" s="2" t="s">
        <v>66</v>
      </c>
      <c r="S130" s="2" t="s">
        <v>51</v>
      </c>
      <c r="T130" s="2" t="s">
        <v>55</v>
      </c>
      <c r="U130" s="2" t="s">
        <v>59</v>
      </c>
      <c r="V130" s="2" t="s">
        <v>57</v>
      </c>
      <c r="W130" s="2" t="s">
        <v>58</v>
      </c>
      <c r="X130" s="2" t="s">
        <v>59</v>
      </c>
      <c r="Y130" s="1">
        <v>599.97</v>
      </c>
      <c r="Z130" s="1">
        <v>599.97</v>
      </c>
      <c r="AA130" s="1">
        <v>0</v>
      </c>
      <c r="AB130" s="1">
        <v>29.99</v>
      </c>
      <c r="AC130" s="1">
        <v>0</v>
      </c>
      <c r="AD130" s="1">
        <v>77.363510000000005</v>
      </c>
      <c r="AE130" s="1">
        <v>629.96</v>
      </c>
      <c r="AG130" s="1">
        <v>0</v>
      </c>
      <c r="AH130" s="1">
        <v>0</v>
      </c>
      <c r="AI130" s="1">
        <v>264.48</v>
      </c>
      <c r="AJ130" s="1">
        <v>0</v>
      </c>
      <c r="AK130" s="1">
        <v>264.48</v>
      </c>
      <c r="AL130" s="1">
        <v>0</v>
      </c>
      <c r="AM130" s="1">
        <v>0</v>
      </c>
      <c r="AN130" s="1">
        <v>0</v>
      </c>
      <c r="AO130" s="1">
        <v>10.499475</v>
      </c>
      <c r="AP130" s="1">
        <v>1.4699264999999999</v>
      </c>
      <c r="AQ130" s="1">
        <v>526.28947000000005</v>
      </c>
      <c r="AR130" s="1">
        <v>526.28947000000005</v>
      </c>
      <c r="AS130" s="1">
        <v>131.57237000000001</v>
      </c>
      <c r="AT130" s="1">
        <v>18.4201318</v>
      </c>
      <c r="AU130" s="1">
        <v>33.99</v>
      </c>
      <c r="AV130" s="2" t="s">
        <v>60</v>
      </c>
      <c r="AW130" s="1">
        <v>404.01799999999997</v>
      </c>
      <c r="AX130" s="1">
        <f>Table1[[#This Row],[Original Commissionable GMV]]-Table1[[#This Row],[Commission ]]-Table1[[#This Row],[Commission VAT]]-Table1[[#This Row],[FreeDeliveryFund]]</f>
        <v>342.30696820000009</v>
      </c>
      <c r="AY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M130" s="2"/>
    </row>
    <row r="131" spans="12:65" x14ac:dyDescent="0.25">
      <c r="L131" s="2">
        <v>504016</v>
      </c>
      <c r="M131" s="2" t="s">
        <v>52</v>
      </c>
      <c r="N131" s="2">
        <v>505839</v>
      </c>
      <c r="O131" t="s">
        <v>63</v>
      </c>
      <c r="P131">
        <v>3382423386</v>
      </c>
      <c r="Q131" s="5">
        <v>46027.477627314816</v>
      </c>
      <c r="R131" s="2" t="s">
        <v>54</v>
      </c>
      <c r="S131" s="2" t="s">
        <v>51</v>
      </c>
      <c r="T131" s="2" t="s">
        <v>55</v>
      </c>
      <c r="U131" s="2" t="s">
        <v>56</v>
      </c>
      <c r="V131" s="2" t="s">
        <v>57</v>
      </c>
      <c r="W131" s="2" t="s">
        <v>58</v>
      </c>
      <c r="X131" s="2" t="s">
        <v>59</v>
      </c>
      <c r="Y131" s="1">
        <v>259.99</v>
      </c>
      <c r="Z131" s="1">
        <v>259.99</v>
      </c>
      <c r="AA131" s="1">
        <v>28.99</v>
      </c>
      <c r="AB131" s="1">
        <v>13</v>
      </c>
      <c r="AC131" s="1">
        <v>0</v>
      </c>
      <c r="AD131" s="1">
        <v>37.085259999999998</v>
      </c>
      <c r="AE131" s="1">
        <v>301.98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30</v>
      </c>
      <c r="AN131" s="1">
        <v>4.2</v>
      </c>
      <c r="AO131" s="1">
        <v>4.5498250000000002</v>
      </c>
      <c r="AP131" s="1">
        <v>0.63697550000000003</v>
      </c>
      <c r="AQ131" s="1">
        <v>228.06139999999999</v>
      </c>
      <c r="AR131" s="1">
        <v>228.06139999999999</v>
      </c>
      <c r="AS131" s="1">
        <v>57.015349999999998</v>
      </c>
      <c r="AT131" s="1">
        <v>7.9821489999999997</v>
      </c>
      <c r="AU131" s="1">
        <v>0</v>
      </c>
      <c r="AV131" s="2" t="s">
        <v>69</v>
      </c>
      <c r="AW131" s="1">
        <v>155.60599999999999</v>
      </c>
      <c r="AX131" s="1">
        <f>Table1[[#This Row],[Original Commissionable GMV]]-Table1[[#This Row],[Commission ]]-Table1[[#This Row],[Commission VAT]]-Table1[[#This Row],[FreeDeliveryFund]]</f>
        <v>163.06390099999999</v>
      </c>
      <c r="AY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M131" s="2"/>
    </row>
    <row r="132" spans="12:65" x14ac:dyDescent="0.25">
      <c r="L132" s="2">
        <v>504016</v>
      </c>
      <c r="M132" s="2" t="s">
        <v>52</v>
      </c>
      <c r="N132" s="2">
        <v>505839</v>
      </c>
      <c r="O132" t="s">
        <v>63</v>
      </c>
      <c r="P132">
        <v>3382491277</v>
      </c>
      <c r="Q132" s="5">
        <v>46027.509930555556</v>
      </c>
      <c r="R132" s="2" t="s">
        <v>54</v>
      </c>
      <c r="S132" s="2" t="s">
        <v>51</v>
      </c>
      <c r="T132" s="2" t="s">
        <v>55</v>
      </c>
      <c r="U132" s="2" t="s">
        <v>56</v>
      </c>
      <c r="V132" s="2" t="s">
        <v>57</v>
      </c>
      <c r="W132" s="2" t="s">
        <v>58</v>
      </c>
      <c r="X132" s="2" t="s">
        <v>59</v>
      </c>
      <c r="Y132" s="1">
        <v>117.86</v>
      </c>
      <c r="Z132" s="1">
        <v>117.86</v>
      </c>
      <c r="AA132" s="1">
        <v>35.99</v>
      </c>
      <c r="AB132" s="1">
        <v>5.89</v>
      </c>
      <c r="AC132" s="1">
        <v>0</v>
      </c>
      <c r="AD132" s="1">
        <v>19.617190000000001</v>
      </c>
      <c r="AE132" s="1">
        <v>159.74</v>
      </c>
      <c r="AG132" s="1">
        <v>0</v>
      </c>
      <c r="AH132" s="1">
        <v>0</v>
      </c>
      <c r="AI132" s="1">
        <v>132.24</v>
      </c>
      <c r="AJ132" s="1">
        <v>0</v>
      </c>
      <c r="AK132" s="1">
        <v>132.24</v>
      </c>
      <c r="AL132" s="1">
        <v>0</v>
      </c>
      <c r="AM132" s="1">
        <v>0</v>
      </c>
      <c r="AN132" s="1">
        <v>0</v>
      </c>
      <c r="AO132" s="1">
        <v>2.0625499999999999</v>
      </c>
      <c r="AP132" s="1">
        <v>0.28875699999999999</v>
      </c>
      <c r="AQ132" s="1">
        <v>103.38596</v>
      </c>
      <c r="AR132" s="1">
        <v>103.38596</v>
      </c>
      <c r="AS132" s="1">
        <v>25.846489999999999</v>
      </c>
      <c r="AT132" s="1">
        <v>3.6185086000000002</v>
      </c>
      <c r="AU132" s="1">
        <v>0</v>
      </c>
      <c r="AV132" s="2" t="s">
        <v>69</v>
      </c>
      <c r="AW132" s="1">
        <v>86.043999999999997</v>
      </c>
      <c r="AX132" s="1">
        <f>Table1[[#This Row],[Original Commissionable GMV]]-Table1[[#This Row],[Commission ]]-Table1[[#This Row],[Commission VAT]]-Table1[[#This Row],[FreeDeliveryFund]]</f>
        <v>73.920961399999996</v>
      </c>
      <c r="AY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M132" s="2"/>
    </row>
    <row r="133" spans="12:65" x14ac:dyDescent="0.25">
      <c r="L133" s="2">
        <v>504016</v>
      </c>
      <c r="M133" s="2" t="s">
        <v>52</v>
      </c>
      <c r="N133" s="2">
        <v>505837</v>
      </c>
      <c r="O133" t="s">
        <v>63</v>
      </c>
      <c r="P133">
        <v>3382612161</v>
      </c>
      <c r="Q133" s="5">
        <v>46027.561909722222</v>
      </c>
      <c r="R133" s="2" t="s">
        <v>54</v>
      </c>
      <c r="S133" s="2" t="s">
        <v>51</v>
      </c>
      <c r="T133" s="2" t="s">
        <v>55</v>
      </c>
      <c r="U133" s="2" t="s">
        <v>56</v>
      </c>
      <c r="V133" s="2" t="s">
        <v>57</v>
      </c>
      <c r="W133" s="2" t="s">
        <v>58</v>
      </c>
      <c r="X133" s="2" t="s">
        <v>59</v>
      </c>
      <c r="Y133" s="1">
        <v>1454.93</v>
      </c>
      <c r="Z133" s="1">
        <v>1454.93</v>
      </c>
      <c r="AA133" s="1">
        <v>0</v>
      </c>
      <c r="AB133" s="1">
        <v>29.99</v>
      </c>
      <c r="AC133" s="1">
        <v>0</v>
      </c>
      <c r="AD133" s="1">
        <v>182.3586</v>
      </c>
      <c r="AE133" s="1">
        <v>1484.92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25.461275000000001</v>
      </c>
      <c r="AP133" s="1">
        <v>3.5645785000000001</v>
      </c>
      <c r="AQ133" s="1">
        <v>1276.2543900000001</v>
      </c>
      <c r="AR133" s="1">
        <v>1276.2543900000001</v>
      </c>
      <c r="AS133" s="1">
        <v>319.06360000000001</v>
      </c>
      <c r="AT133" s="1">
        <v>44.668903999999998</v>
      </c>
      <c r="AU133" s="1">
        <v>28.99</v>
      </c>
      <c r="AV133" s="2" t="s">
        <v>60</v>
      </c>
      <c r="AW133" s="1">
        <v>1033.182</v>
      </c>
      <c r="AX133" s="1">
        <f>Table1[[#This Row],[Original Commissionable GMV]]-Table1[[#This Row],[Commission ]]-Table1[[#This Row],[Commission VAT]]-Table1[[#This Row],[FreeDeliveryFund]]</f>
        <v>883.5318860000001</v>
      </c>
      <c r="AY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M133" s="2"/>
    </row>
    <row r="134" spans="12:65" x14ac:dyDescent="0.25">
      <c r="L134" s="2">
        <v>504016</v>
      </c>
      <c r="M134" s="2" t="s">
        <v>52</v>
      </c>
      <c r="N134" s="2">
        <v>505837</v>
      </c>
      <c r="O134" t="s">
        <v>65</v>
      </c>
      <c r="P134">
        <v>3382806120</v>
      </c>
      <c r="Q134" s="5">
        <v>46027.643449074072</v>
      </c>
      <c r="R134" s="2" t="s">
        <v>62</v>
      </c>
      <c r="S134" s="2" t="s">
        <v>51</v>
      </c>
      <c r="T134" s="2" t="s">
        <v>55</v>
      </c>
      <c r="U134" s="2" t="s">
        <v>59</v>
      </c>
      <c r="V134" s="2" t="s">
        <v>57</v>
      </c>
      <c r="W134" s="2" t="s">
        <v>58</v>
      </c>
      <c r="X134" s="2" t="s">
        <v>59</v>
      </c>
      <c r="Y134" s="1">
        <v>299.92</v>
      </c>
      <c r="Z134" s="1">
        <v>299.92</v>
      </c>
      <c r="AA134" s="1">
        <v>35.99</v>
      </c>
      <c r="AB134" s="1">
        <v>15</v>
      </c>
      <c r="AC134" s="1">
        <v>0</v>
      </c>
      <c r="AD134" s="1">
        <v>43.094209999999997</v>
      </c>
      <c r="AE134" s="1">
        <v>350.91</v>
      </c>
      <c r="AG134" s="1">
        <v>0</v>
      </c>
      <c r="AH134" s="1">
        <v>0</v>
      </c>
      <c r="AI134" s="1">
        <v>0</v>
      </c>
      <c r="AJ134" s="1">
        <v>53.4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263.08771999999999</v>
      </c>
      <c r="AR134" s="1">
        <v>263.08771999999999</v>
      </c>
      <c r="AS134" s="1">
        <v>65.771929999999998</v>
      </c>
      <c r="AT134" s="1">
        <v>9.2080701999999999</v>
      </c>
      <c r="AU134" s="1">
        <v>0</v>
      </c>
      <c r="AV134" s="2" t="s">
        <v>69</v>
      </c>
      <c r="AW134" s="1">
        <v>224.94</v>
      </c>
      <c r="AX134" s="1">
        <f>Table1[[#This Row],[Original Commissionable GMV]]-Table1[[#This Row],[Commission ]]-Table1[[#This Row],[Commission VAT]]-Table1[[#This Row],[FreeDeliveryFund]]</f>
        <v>188.10771979999998</v>
      </c>
      <c r="AY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M134" s="2"/>
    </row>
    <row r="135" spans="12:65" x14ac:dyDescent="0.25">
      <c r="L135" s="2">
        <v>504016</v>
      </c>
      <c r="M135" s="2" t="s">
        <v>52</v>
      </c>
      <c r="N135" s="2">
        <v>505839</v>
      </c>
      <c r="O135" t="s">
        <v>65</v>
      </c>
      <c r="P135">
        <v>3382874869</v>
      </c>
      <c r="Q135" s="5">
        <v>46027.670023148145</v>
      </c>
      <c r="R135" s="2" t="s">
        <v>54</v>
      </c>
      <c r="S135" s="2" t="s">
        <v>51</v>
      </c>
      <c r="T135" s="2" t="s">
        <v>55</v>
      </c>
      <c r="U135" s="2" t="s">
        <v>56</v>
      </c>
      <c r="V135" s="2" t="s">
        <v>57</v>
      </c>
      <c r="W135" s="2" t="s">
        <v>58</v>
      </c>
      <c r="X135" s="2" t="s">
        <v>59</v>
      </c>
      <c r="Y135" s="1">
        <v>258</v>
      </c>
      <c r="Z135" s="1">
        <v>258</v>
      </c>
      <c r="AA135" s="1">
        <v>0</v>
      </c>
      <c r="AB135" s="1">
        <v>12.9</v>
      </c>
      <c r="AC135" s="1">
        <v>0</v>
      </c>
      <c r="AD135" s="1">
        <v>33.268419999999999</v>
      </c>
      <c r="AE135" s="1">
        <v>270.89999999999998</v>
      </c>
      <c r="AG135" s="1">
        <v>0</v>
      </c>
      <c r="AH135" s="1">
        <v>0</v>
      </c>
      <c r="AI135" s="1">
        <v>0</v>
      </c>
      <c r="AJ135" s="1">
        <v>53.4</v>
      </c>
      <c r="AK135" s="1">
        <v>0</v>
      </c>
      <c r="AL135" s="1">
        <v>0</v>
      </c>
      <c r="AM135" s="1">
        <v>0</v>
      </c>
      <c r="AN135" s="1">
        <v>0</v>
      </c>
      <c r="AO135" s="1">
        <v>4.5149999999999997</v>
      </c>
      <c r="AP135" s="1">
        <v>0.6321</v>
      </c>
      <c r="AQ135" s="1">
        <v>226.31578999999999</v>
      </c>
      <c r="AR135" s="1">
        <v>226.31578999999999</v>
      </c>
      <c r="AS135" s="1">
        <v>56.578949999999999</v>
      </c>
      <c r="AT135" s="1">
        <v>7.9210529999999997</v>
      </c>
      <c r="AU135" s="1">
        <v>27.99</v>
      </c>
      <c r="AV135" s="2" t="s">
        <v>60</v>
      </c>
      <c r="AW135" s="1">
        <v>160.363</v>
      </c>
      <c r="AX135" s="1">
        <f>Table1[[#This Row],[Original Commissionable GMV]]-Table1[[#This Row],[Commission ]]-Table1[[#This Row],[Commission VAT]]-Table1[[#This Row],[FreeDeliveryFund]]</f>
        <v>133.82578699999999</v>
      </c>
      <c r="AY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M135" s="2"/>
    </row>
    <row r="136" spans="12:65" x14ac:dyDescent="0.25">
      <c r="L136" s="2">
        <v>504016</v>
      </c>
      <c r="M136" s="2" t="s">
        <v>52</v>
      </c>
      <c r="N136" s="2">
        <v>505839</v>
      </c>
      <c r="O136" t="s">
        <v>53</v>
      </c>
      <c r="P136">
        <v>3382875376</v>
      </c>
      <c r="Q136" s="5">
        <v>46027.670219907406</v>
      </c>
      <c r="R136" s="2" t="s">
        <v>54</v>
      </c>
      <c r="S136" s="2" t="s">
        <v>51</v>
      </c>
      <c r="T136" s="2" t="s">
        <v>55</v>
      </c>
      <c r="U136" s="2" t="s">
        <v>56</v>
      </c>
      <c r="V136" s="2" t="s">
        <v>57</v>
      </c>
      <c r="W136" s="2" t="s">
        <v>58</v>
      </c>
      <c r="X136" s="2" t="s">
        <v>59</v>
      </c>
      <c r="Y136" s="1">
        <v>639.99</v>
      </c>
      <c r="Z136" s="1">
        <v>639.99</v>
      </c>
      <c r="AA136" s="1">
        <v>0</v>
      </c>
      <c r="AB136" s="1">
        <v>29.99</v>
      </c>
      <c r="AC136" s="1">
        <v>0</v>
      </c>
      <c r="AD136" s="1">
        <v>82.27825</v>
      </c>
      <c r="AE136" s="1">
        <v>669.98</v>
      </c>
      <c r="AG136" s="1">
        <v>0</v>
      </c>
      <c r="AH136" s="1">
        <v>0</v>
      </c>
      <c r="AI136" s="1">
        <v>132.24</v>
      </c>
      <c r="AJ136" s="1">
        <v>0</v>
      </c>
      <c r="AK136" s="1">
        <v>132.24</v>
      </c>
      <c r="AL136" s="1">
        <v>0</v>
      </c>
      <c r="AM136" s="1">
        <v>30</v>
      </c>
      <c r="AN136" s="1">
        <v>4.2</v>
      </c>
      <c r="AO136" s="1">
        <v>11.199825000000001</v>
      </c>
      <c r="AP136" s="1">
        <v>1.5679755</v>
      </c>
      <c r="AQ136" s="1">
        <v>561.39473999999996</v>
      </c>
      <c r="AR136" s="1">
        <v>561.39473999999996</v>
      </c>
      <c r="AS136" s="1">
        <v>140.34869</v>
      </c>
      <c r="AT136" s="1">
        <v>19.6488166</v>
      </c>
      <c r="AU136" s="1">
        <v>32.99</v>
      </c>
      <c r="AV136" s="2" t="s">
        <v>60</v>
      </c>
      <c r="AW136" s="1">
        <v>400.03500000000003</v>
      </c>
      <c r="AX136" s="1">
        <f>Table1[[#This Row],[Original Commissionable GMV]]-Table1[[#This Row],[Commission ]]-Table1[[#This Row],[Commission VAT]]-Table1[[#This Row],[FreeDeliveryFund]]</f>
        <v>368.40723339999994</v>
      </c>
      <c r="AY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M136" s="2"/>
    </row>
    <row r="137" spans="12:65" x14ac:dyDescent="0.25">
      <c r="L137" s="2">
        <v>504016</v>
      </c>
      <c r="M137" s="2" t="s">
        <v>52</v>
      </c>
      <c r="N137" s="2">
        <v>505839</v>
      </c>
      <c r="O137" t="s">
        <v>63</v>
      </c>
      <c r="P137">
        <v>3382884919</v>
      </c>
      <c r="Q137" s="5">
        <v>46027.673773148148</v>
      </c>
      <c r="R137" s="2" t="s">
        <v>54</v>
      </c>
      <c r="S137" s="2" t="s">
        <v>51</v>
      </c>
      <c r="T137" s="2" t="s">
        <v>55</v>
      </c>
      <c r="U137" s="2" t="s">
        <v>56</v>
      </c>
      <c r="V137" s="2" t="s">
        <v>57</v>
      </c>
      <c r="W137" s="2" t="s">
        <v>58</v>
      </c>
      <c r="X137" s="2" t="s">
        <v>59</v>
      </c>
      <c r="Y137" s="1">
        <v>233.99</v>
      </c>
      <c r="Z137" s="1">
        <v>233.99</v>
      </c>
      <c r="AA137" s="1">
        <v>0</v>
      </c>
      <c r="AB137" s="1">
        <v>11.7</v>
      </c>
      <c r="AC137" s="1">
        <v>0</v>
      </c>
      <c r="AD137" s="1">
        <v>24.646139999999999</v>
      </c>
      <c r="AE137" s="1">
        <v>200.69</v>
      </c>
      <c r="AG137" s="1">
        <v>0</v>
      </c>
      <c r="AH137" s="1">
        <v>45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4.0948250000000002</v>
      </c>
      <c r="AP137" s="1">
        <v>0.57327550000000005</v>
      </c>
      <c r="AQ137" s="1">
        <v>205.25439</v>
      </c>
      <c r="AR137" s="1">
        <v>205.25439</v>
      </c>
      <c r="AS137" s="1">
        <v>51.313600000000001</v>
      </c>
      <c r="AT137" s="1">
        <v>7.1839040000000001</v>
      </c>
      <c r="AU137" s="1">
        <v>28.99</v>
      </c>
      <c r="AV137" s="2" t="s">
        <v>60</v>
      </c>
      <c r="AW137" s="1">
        <v>141.834</v>
      </c>
      <c r="AX137" s="1">
        <f>Table1[[#This Row],[Original Commissionable GMV]]-Table1[[#This Row],[Commission ]]-Table1[[#This Row],[Commission VAT]]-Table1[[#This Row],[FreeDeliveryFund]]</f>
        <v>117.76688599999999</v>
      </c>
      <c r="AY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M137" s="2"/>
    </row>
    <row r="138" spans="12:65" x14ac:dyDescent="0.25">
      <c r="L138" s="2">
        <v>504016</v>
      </c>
      <c r="M138" s="2" t="s">
        <v>52</v>
      </c>
      <c r="N138" s="2">
        <v>505837</v>
      </c>
      <c r="O138" t="s">
        <v>63</v>
      </c>
      <c r="P138">
        <v>3382905072</v>
      </c>
      <c r="Q138" s="5">
        <v>46027.681018518517</v>
      </c>
      <c r="R138" s="2" t="s">
        <v>54</v>
      </c>
      <c r="S138" s="2" t="s">
        <v>51</v>
      </c>
      <c r="T138" s="2" t="s">
        <v>55</v>
      </c>
      <c r="U138" s="2" t="s">
        <v>56</v>
      </c>
      <c r="V138" s="2" t="s">
        <v>57</v>
      </c>
      <c r="W138" s="2" t="s">
        <v>58</v>
      </c>
      <c r="X138" s="2" t="s">
        <v>59</v>
      </c>
      <c r="Y138" s="1">
        <v>827.97</v>
      </c>
      <c r="Z138" s="1">
        <v>827.97</v>
      </c>
      <c r="AA138" s="1">
        <v>27.99</v>
      </c>
      <c r="AB138" s="1">
        <v>29.99</v>
      </c>
      <c r="AC138" s="1">
        <v>0</v>
      </c>
      <c r="AD138" s="1">
        <v>108.80088000000001</v>
      </c>
      <c r="AE138" s="1">
        <v>885.95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14.489475000000001</v>
      </c>
      <c r="AP138" s="1">
        <v>2.0285264999999999</v>
      </c>
      <c r="AQ138" s="1">
        <v>726.28947000000005</v>
      </c>
      <c r="AR138" s="1">
        <v>726.28947000000005</v>
      </c>
      <c r="AS138" s="1">
        <v>181.57237000000001</v>
      </c>
      <c r="AT138" s="1">
        <v>25.4201318</v>
      </c>
      <c r="AU138" s="1">
        <v>0</v>
      </c>
      <c r="AV138" s="2" t="s">
        <v>69</v>
      </c>
      <c r="AW138" s="1">
        <v>604.45899999999995</v>
      </c>
      <c r="AX138" s="1">
        <f>Table1[[#This Row],[Original Commissionable GMV]]-Table1[[#This Row],[Commission ]]-Table1[[#This Row],[Commission VAT]]-Table1[[#This Row],[FreeDeliveryFund]]</f>
        <v>519.29696820000004</v>
      </c>
      <c r="AY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M138" s="2"/>
    </row>
    <row r="139" spans="12:65" x14ac:dyDescent="0.25">
      <c r="L139" s="2">
        <v>504016</v>
      </c>
      <c r="M139" s="2" t="s">
        <v>52</v>
      </c>
      <c r="N139" s="2">
        <v>505837</v>
      </c>
      <c r="O139" t="s">
        <v>63</v>
      </c>
      <c r="P139">
        <v>3382926044</v>
      </c>
      <c r="Q139" s="5">
        <v>46027.688263888886</v>
      </c>
      <c r="R139" s="2" t="s">
        <v>54</v>
      </c>
      <c r="S139" s="2" t="s">
        <v>51</v>
      </c>
      <c r="T139" s="2" t="s">
        <v>55</v>
      </c>
      <c r="U139" s="2" t="s">
        <v>59</v>
      </c>
      <c r="V139" s="2" t="s">
        <v>57</v>
      </c>
      <c r="W139" s="2" t="s">
        <v>58</v>
      </c>
      <c r="X139" s="2" t="s">
        <v>59</v>
      </c>
      <c r="Y139" s="1">
        <v>384.01</v>
      </c>
      <c r="Z139" s="1">
        <v>384.01</v>
      </c>
      <c r="AA139" s="1">
        <v>26.99</v>
      </c>
      <c r="AB139" s="1">
        <v>19.2</v>
      </c>
      <c r="AC139" s="1">
        <v>0</v>
      </c>
      <c r="AD139" s="1">
        <v>52.831580000000002</v>
      </c>
      <c r="AE139" s="1">
        <v>430.2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6.7201750000000002</v>
      </c>
      <c r="AP139" s="1">
        <v>0.94082449999999995</v>
      </c>
      <c r="AQ139" s="1">
        <v>336.85088000000002</v>
      </c>
      <c r="AR139" s="1">
        <v>336.85088000000002</v>
      </c>
      <c r="AS139" s="1">
        <v>84.212720000000004</v>
      </c>
      <c r="AT139" s="1">
        <v>11.789780800000001</v>
      </c>
      <c r="AU139" s="1">
        <v>0</v>
      </c>
      <c r="AV139" s="2" t="s">
        <v>69</v>
      </c>
      <c r="AW139" s="1">
        <v>280.346</v>
      </c>
      <c r="AX139" s="1">
        <f>Table1[[#This Row],[Original Commissionable GMV]]-Table1[[#This Row],[Commission ]]-Table1[[#This Row],[Commission VAT]]-Table1[[#This Row],[FreeDeliveryFund]]</f>
        <v>240.84837920000004</v>
      </c>
      <c r="AY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M139" s="2"/>
    </row>
    <row r="140" spans="12:65" x14ac:dyDescent="0.25">
      <c r="L140" s="2">
        <v>504016</v>
      </c>
      <c r="M140" s="2" t="s">
        <v>52</v>
      </c>
      <c r="N140" s="2">
        <v>505839</v>
      </c>
      <c r="O140" t="s">
        <v>63</v>
      </c>
      <c r="P140">
        <v>3382974811</v>
      </c>
      <c r="Q140" s="5">
        <v>46027.704594907409</v>
      </c>
      <c r="R140" s="2" t="s">
        <v>54</v>
      </c>
      <c r="S140" s="2" t="s">
        <v>51</v>
      </c>
      <c r="T140" s="2" t="s">
        <v>55</v>
      </c>
      <c r="U140" s="2" t="s">
        <v>56</v>
      </c>
      <c r="V140" s="2" t="s">
        <v>57</v>
      </c>
      <c r="W140" s="2" t="s">
        <v>58</v>
      </c>
      <c r="X140" s="2" t="s">
        <v>59</v>
      </c>
      <c r="Y140" s="1">
        <v>470.98</v>
      </c>
      <c r="Z140" s="1">
        <v>506.98</v>
      </c>
      <c r="AA140" s="1">
        <v>0</v>
      </c>
      <c r="AB140" s="1">
        <v>25.35</v>
      </c>
      <c r="AC140" s="1">
        <v>0</v>
      </c>
      <c r="AD140" s="1">
        <v>65.373859999999993</v>
      </c>
      <c r="AE140" s="1">
        <v>496.33</v>
      </c>
      <c r="AG140" s="1">
        <v>0</v>
      </c>
      <c r="AH140" s="1">
        <v>36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8.2421500000000005</v>
      </c>
      <c r="AP140" s="1">
        <v>1.1539010000000001</v>
      </c>
      <c r="AQ140" s="1">
        <v>413.14035000000001</v>
      </c>
      <c r="AR140" s="1">
        <v>413.14035000000001</v>
      </c>
      <c r="AS140" s="1">
        <v>103.28509</v>
      </c>
      <c r="AT140" s="1">
        <v>14.459912599999999</v>
      </c>
      <c r="AU140" s="1">
        <v>26.99</v>
      </c>
      <c r="AV140" s="2" t="s">
        <v>60</v>
      </c>
      <c r="AW140" s="1">
        <v>316.84899999999999</v>
      </c>
      <c r="AX140" s="1">
        <f>Table1[[#This Row],[Original Commissionable GMV]]-Table1[[#This Row],[Commission ]]-Table1[[#This Row],[Commission VAT]]-Table1[[#This Row],[FreeDeliveryFund]]</f>
        <v>268.40534740000004</v>
      </c>
      <c r="AY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M140" s="2"/>
    </row>
    <row r="141" spans="12:65" x14ac:dyDescent="0.25">
      <c r="L141" s="2">
        <v>504016</v>
      </c>
      <c r="M141" s="2" t="s">
        <v>52</v>
      </c>
      <c r="N141" s="2">
        <v>505839</v>
      </c>
      <c r="O141" t="s">
        <v>53</v>
      </c>
      <c r="P141">
        <v>3382985178</v>
      </c>
      <c r="Q141" s="5">
        <v>46027.708032407405</v>
      </c>
      <c r="R141" s="2" t="s">
        <v>54</v>
      </c>
      <c r="S141" s="2" t="s">
        <v>51</v>
      </c>
      <c r="T141" s="2" t="s">
        <v>55</v>
      </c>
      <c r="U141" s="2" t="s">
        <v>56</v>
      </c>
      <c r="V141" s="2" t="s">
        <v>57</v>
      </c>
      <c r="W141" s="2" t="s">
        <v>58</v>
      </c>
      <c r="X141" s="2" t="s">
        <v>59</v>
      </c>
      <c r="Y141" s="1">
        <v>959.97</v>
      </c>
      <c r="Z141" s="1">
        <v>959.97</v>
      </c>
      <c r="AA141" s="1">
        <v>0</v>
      </c>
      <c r="AB141" s="1">
        <v>29.99</v>
      </c>
      <c r="AC141" s="1">
        <v>0</v>
      </c>
      <c r="AD141" s="1">
        <v>121.57404</v>
      </c>
      <c r="AE141" s="1">
        <v>989.96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16.799475000000001</v>
      </c>
      <c r="AP141" s="1">
        <v>2.3519264999999998</v>
      </c>
      <c r="AQ141" s="1">
        <v>842.07894999999996</v>
      </c>
      <c r="AR141" s="1">
        <v>842.07894999999996</v>
      </c>
      <c r="AS141" s="1">
        <v>210.51974000000001</v>
      </c>
      <c r="AT141" s="1">
        <v>29.4727636</v>
      </c>
      <c r="AU141" s="1">
        <v>30.99</v>
      </c>
      <c r="AV141" s="2" t="s">
        <v>60</v>
      </c>
      <c r="AW141" s="1">
        <v>669.83600000000001</v>
      </c>
      <c r="AX141" s="1">
        <f>Table1[[#This Row],[Original Commissionable GMV]]-Table1[[#This Row],[Commission ]]-Table1[[#This Row],[Commission VAT]]-Table1[[#This Row],[FreeDeliveryFund]]</f>
        <v>571.09644639999988</v>
      </c>
      <c r="AY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M141" s="2"/>
    </row>
    <row r="142" spans="12:65" x14ac:dyDescent="0.25">
      <c r="L142" s="2">
        <v>504016</v>
      </c>
      <c r="M142" s="2" t="s">
        <v>52</v>
      </c>
      <c r="N142" s="2">
        <v>505839</v>
      </c>
      <c r="O142" t="s">
        <v>63</v>
      </c>
      <c r="P142">
        <v>3383029360</v>
      </c>
      <c r="Q142" s="5">
        <v>46027.722233796296</v>
      </c>
      <c r="R142" s="2" t="s">
        <v>54</v>
      </c>
      <c r="S142" s="2" t="s">
        <v>51</v>
      </c>
      <c r="T142" s="2" t="s">
        <v>55</v>
      </c>
      <c r="U142" s="2" t="s">
        <v>56</v>
      </c>
      <c r="V142" s="2" t="s">
        <v>57</v>
      </c>
      <c r="W142" s="2" t="s">
        <v>58</v>
      </c>
      <c r="X142" s="2" t="s">
        <v>59</v>
      </c>
      <c r="Y142" s="1">
        <v>203.99</v>
      </c>
      <c r="Z142" s="1">
        <v>239.99</v>
      </c>
      <c r="AA142" s="1">
        <v>0</v>
      </c>
      <c r="AB142" s="1">
        <v>12</v>
      </c>
      <c r="AC142" s="1">
        <v>0</v>
      </c>
      <c r="AD142" s="1">
        <v>30.94614</v>
      </c>
      <c r="AE142" s="1">
        <v>215.99</v>
      </c>
      <c r="AG142" s="1">
        <v>0</v>
      </c>
      <c r="AH142" s="1">
        <v>36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3.5698249999999998</v>
      </c>
      <c r="AP142" s="1">
        <v>0.49977549999999998</v>
      </c>
      <c r="AQ142" s="1">
        <v>178.93860000000001</v>
      </c>
      <c r="AR142" s="1">
        <v>178.93860000000001</v>
      </c>
      <c r="AS142" s="1">
        <v>44.734650000000002</v>
      </c>
      <c r="AT142" s="1">
        <v>6.2628510000000004</v>
      </c>
      <c r="AU142" s="1">
        <v>29.99</v>
      </c>
      <c r="AV142" s="2" t="s">
        <v>60</v>
      </c>
      <c r="AW142" s="1">
        <v>118.93300000000001</v>
      </c>
      <c r="AX142" s="1">
        <f>Table1[[#This Row],[Original Commissionable GMV]]-Table1[[#This Row],[Commission ]]-Table1[[#This Row],[Commission VAT]]-Table1[[#This Row],[FreeDeliveryFund]]</f>
        <v>97.951099000000028</v>
      </c>
      <c r="AY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M142" s="2"/>
    </row>
    <row r="143" spans="12:65" x14ac:dyDescent="0.25">
      <c r="L143" s="2">
        <v>504016</v>
      </c>
      <c r="M143" s="2" t="s">
        <v>52</v>
      </c>
      <c r="N143" s="2">
        <v>505837</v>
      </c>
      <c r="O143" t="s">
        <v>65</v>
      </c>
      <c r="P143">
        <v>3383088194</v>
      </c>
      <c r="Q143" s="5">
        <v>46027.740381944444</v>
      </c>
      <c r="R143" s="2" t="s">
        <v>54</v>
      </c>
      <c r="S143" s="2" t="s">
        <v>51</v>
      </c>
      <c r="T143" s="2" t="s">
        <v>55</v>
      </c>
      <c r="U143" s="2" t="s">
        <v>56</v>
      </c>
      <c r="V143" s="2" t="s">
        <v>57</v>
      </c>
      <c r="W143" s="2" t="s">
        <v>58</v>
      </c>
      <c r="X143" s="2" t="s">
        <v>59</v>
      </c>
      <c r="Y143" s="1">
        <v>400.99</v>
      </c>
      <c r="Z143" s="1">
        <v>400.99</v>
      </c>
      <c r="AA143" s="1">
        <v>0</v>
      </c>
      <c r="AB143" s="1">
        <v>20.05</v>
      </c>
      <c r="AC143" s="1">
        <v>0</v>
      </c>
      <c r="AD143" s="1">
        <v>51.706670000000003</v>
      </c>
      <c r="AE143" s="1">
        <v>421.04</v>
      </c>
      <c r="AG143" s="1">
        <v>0</v>
      </c>
      <c r="AH143" s="1">
        <v>0</v>
      </c>
      <c r="AI143" s="1">
        <v>430.92</v>
      </c>
      <c r="AJ143" s="1">
        <v>0</v>
      </c>
      <c r="AK143" s="1">
        <v>430.92</v>
      </c>
      <c r="AL143" s="1">
        <v>0</v>
      </c>
      <c r="AM143" s="1">
        <v>0</v>
      </c>
      <c r="AN143" s="1">
        <v>0</v>
      </c>
      <c r="AO143" s="1">
        <v>7.0173249999999996</v>
      </c>
      <c r="AP143" s="1">
        <v>0.98242549999999995</v>
      </c>
      <c r="AQ143" s="1">
        <v>351.74561</v>
      </c>
      <c r="AR143" s="1">
        <v>351.74561</v>
      </c>
      <c r="AS143" s="1">
        <v>87.936400000000006</v>
      </c>
      <c r="AT143" s="1">
        <v>12.311095999999999</v>
      </c>
      <c r="AU143" s="1">
        <v>27.99</v>
      </c>
      <c r="AV143" s="2" t="s">
        <v>60</v>
      </c>
      <c r="AW143" s="1">
        <v>264.75299999999999</v>
      </c>
      <c r="AX143" s="1">
        <f>Table1[[#This Row],[Original Commissionable GMV]]-Table1[[#This Row],[Commission ]]-Table1[[#This Row],[Commission VAT]]-Table1[[#This Row],[FreeDeliveryFund]]</f>
        <v>223.50811400000001</v>
      </c>
      <c r="AY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M143" s="2"/>
    </row>
    <row r="144" spans="12:65" x14ac:dyDescent="0.25">
      <c r="L144" s="2">
        <v>504016</v>
      </c>
      <c r="M144" s="2" t="s">
        <v>52</v>
      </c>
      <c r="N144" s="2">
        <v>505835</v>
      </c>
      <c r="O144" t="s">
        <v>53</v>
      </c>
      <c r="P144">
        <v>3383136624</v>
      </c>
      <c r="Q144" s="5">
        <v>46027.754849537036</v>
      </c>
      <c r="R144" s="2" t="s">
        <v>66</v>
      </c>
      <c r="S144" s="2" t="s">
        <v>51</v>
      </c>
      <c r="T144" s="2" t="s">
        <v>55</v>
      </c>
      <c r="U144" s="2" t="s">
        <v>59</v>
      </c>
      <c r="V144" s="2" t="s">
        <v>57</v>
      </c>
      <c r="W144" s="2" t="s">
        <v>58</v>
      </c>
      <c r="X144" s="2" t="s">
        <v>59</v>
      </c>
      <c r="Y144" s="1">
        <v>995.96</v>
      </c>
      <c r="Z144" s="1">
        <v>995.96</v>
      </c>
      <c r="AA144" s="1">
        <v>31.99</v>
      </c>
      <c r="AB144" s="1">
        <v>29.99</v>
      </c>
      <c r="AC144" s="1">
        <v>0</v>
      </c>
      <c r="AD144" s="1">
        <v>129.92246</v>
      </c>
      <c r="AE144" s="1">
        <v>1057.94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17.429298249999999</v>
      </c>
      <c r="AP144" s="1">
        <v>2.4401017550000001</v>
      </c>
      <c r="AQ144" s="1">
        <v>873.64912000000004</v>
      </c>
      <c r="AR144" s="1">
        <v>873.64912000000004</v>
      </c>
      <c r="AS144" s="1">
        <v>218.41228000000001</v>
      </c>
      <c r="AT144" s="1">
        <v>30.577719200000001</v>
      </c>
      <c r="AU144" s="1">
        <v>0</v>
      </c>
      <c r="AV144" s="2" t="s">
        <v>69</v>
      </c>
      <c r="AW144" s="1">
        <v>727.101</v>
      </c>
      <c r="AX144" s="1">
        <f>Table1[[#This Row],[Original Commissionable GMV]]-Table1[[#This Row],[Commission ]]-Table1[[#This Row],[Commission VAT]]-Table1[[#This Row],[FreeDeliveryFund]]</f>
        <v>624.65912079999998</v>
      </c>
      <c r="AY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M144" s="2"/>
    </row>
    <row r="145" spans="12:65" x14ac:dyDescent="0.25">
      <c r="L145" s="2">
        <v>504016</v>
      </c>
      <c r="M145" s="2" t="s">
        <v>52</v>
      </c>
      <c r="N145" s="2">
        <v>505839</v>
      </c>
      <c r="O145" t="s">
        <v>63</v>
      </c>
      <c r="P145">
        <v>3383140032</v>
      </c>
      <c r="Q145" s="5">
        <v>46027.755856481483</v>
      </c>
      <c r="R145" s="2" t="s">
        <v>54</v>
      </c>
      <c r="S145" s="2" t="s">
        <v>51</v>
      </c>
      <c r="T145" s="2" t="s">
        <v>55</v>
      </c>
      <c r="U145" s="2" t="s">
        <v>56</v>
      </c>
      <c r="V145" s="2" t="s">
        <v>57</v>
      </c>
      <c r="W145" s="2" t="s">
        <v>58</v>
      </c>
      <c r="X145" s="2" t="s">
        <v>59</v>
      </c>
      <c r="Y145" s="1">
        <v>459.67</v>
      </c>
      <c r="Z145" s="1">
        <v>459.67</v>
      </c>
      <c r="AA145" s="1">
        <v>0</v>
      </c>
      <c r="AB145" s="1">
        <v>22.98</v>
      </c>
      <c r="AC145" s="1">
        <v>0</v>
      </c>
      <c r="AD145" s="1">
        <v>59.27281</v>
      </c>
      <c r="AE145" s="1">
        <v>482.65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8.0442250000000008</v>
      </c>
      <c r="AP145" s="1">
        <v>1.1261915</v>
      </c>
      <c r="AQ145" s="1">
        <v>403.21929999999998</v>
      </c>
      <c r="AR145" s="1">
        <v>403.21929999999998</v>
      </c>
      <c r="AS145" s="1">
        <v>100.80483</v>
      </c>
      <c r="AT145" s="1">
        <v>14.112676199999999</v>
      </c>
      <c r="AU145" s="1">
        <v>28.99</v>
      </c>
      <c r="AV145" s="2" t="s">
        <v>60</v>
      </c>
      <c r="AW145" s="1">
        <v>306.59199999999998</v>
      </c>
      <c r="AX145" s="1">
        <f>Table1[[#This Row],[Original Commissionable GMV]]-Table1[[#This Row],[Commission ]]-Table1[[#This Row],[Commission VAT]]-Table1[[#This Row],[FreeDeliveryFund]]</f>
        <v>259.31179379999998</v>
      </c>
      <c r="AY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M145" s="2"/>
    </row>
    <row r="146" spans="12:65" x14ac:dyDescent="0.25">
      <c r="L146" s="2">
        <v>504016</v>
      </c>
      <c r="M146" s="2" t="s">
        <v>52</v>
      </c>
      <c r="N146" s="2">
        <v>505839</v>
      </c>
      <c r="O146" t="s">
        <v>53</v>
      </c>
      <c r="P146">
        <v>3383141247</v>
      </c>
      <c r="Q146" s="5">
        <v>46027.756203703706</v>
      </c>
      <c r="R146" s="2" t="s">
        <v>54</v>
      </c>
      <c r="S146" s="2" t="s">
        <v>51</v>
      </c>
      <c r="T146" s="2" t="s">
        <v>55</v>
      </c>
      <c r="U146" s="2" t="s">
        <v>56</v>
      </c>
      <c r="V146" s="2" t="s">
        <v>57</v>
      </c>
      <c r="W146" s="2" t="s">
        <v>58</v>
      </c>
      <c r="X146" s="2" t="s">
        <v>59</v>
      </c>
      <c r="Y146" s="1">
        <v>406.67</v>
      </c>
      <c r="Z146" s="1">
        <v>406.67</v>
      </c>
      <c r="AA146" s="1">
        <v>0</v>
      </c>
      <c r="AB146" s="1">
        <v>20.329999999999998</v>
      </c>
      <c r="AC146" s="1">
        <v>0</v>
      </c>
      <c r="AD146" s="1">
        <v>52.438600000000001</v>
      </c>
      <c r="AE146" s="1">
        <v>427</v>
      </c>
      <c r="AG146" s="1">
        <v>0</v>
      </c>
      <c r="AH146" s="1">
        <v>0</v>
      </c>
      <c r="AI146" s="1">
        <v>0</v>
      </c>
      <c r="AJ146" s="1">
        <v>80</v>
      </c>
      <c r="AK146" s="1">
        <v>0</v>
      </c>
      <c r="AL146" s="1">
        <v>0</v>
      </c>
      <c r="AM146" s="1">
        <v>0</v>
      </c>
      <c r="AN146" s="1">
        <v>0</v>
      </c>
      <c r="AO146" s="1">
        <v>7.1167249999999997</v>
      </c>
      <c r="AP146" s="1">
        <v>0.99634149999999999</v>
      </c>
      <c r="AQ146" s="1">
        <v>356.72807</v>
      </c>
      <c r="AR146" s="1">
        <v>356.72807</v>
      </c>
      <c r="AS146" s="1">
        <v>89.182019999999994</v>
      </c>
      <c r="AT146" s="1">
        <v>12.4854828</v>
      </c>
      <c r="AU146" s="1">
        <v>34.99</v>
      </c>
      <c r="AV146" s="2" t="s">
        <v>60</v>
      </c>
      <c r="AW146" s="1">
        <v>261.899</v>
      </c>
      <c r="AX146" s="1">
        <f>Table1[[#This Row],[Original Commissionable GMV]]-Table1[[#This Row],[Commission ]]-Table1[[#This Row],[Commission VAT]]-Table1[[#This Row],[FreeDeliveryFund]]</f>
        <v>220.07056720000003</v>
      </c>
      <c r="AY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M146" s="2"/>
    </row>
    <row r="147" spans="12:65" x14ac:dyDescent="0.25">
      <c r="L147" s="2">
        <v>504016</v>
      </c>
      <c r="M147" s="2" t="s">
        <v>52</v>
      </c>
      <c r="N147" s="2">
        <v>505835</v>
      </c>
      <c r="O147" t="s">
        <v>53</v>
      </c>
      <c r="P147">
        <v>3383198015</v>
      </c>
      <c r="Q147" s="5">
        <v>46027.772905092592</v>
      </c>
      <c r="R147" s="2" t="s">
        <v>54</v>
      </c>
      <c r="S147" s="2" t="s">
        <v>51</v>
      </c>
      <c r="T147" s="2" t="s">
        <v>55</v>
      </c>
      <c r="U147" s="2" t="s">
        <v>59</v>
      </c>
      <c r="V147" s="2" t="s">
        <v>57</v>
      </c>
      <c r="W147" s="2" t="s">
        <v>58</v>
      </c>
      <c r="X147" s="2" t="s">
        <v>59</v>
      </c>
      <c r="Y147" s="1">
        <v>1098.45</v>
      </c>
      <c r="Z147" s="1">
        <v>1098.45</v>
      </c>
      <c r="AA147" s="1">
        <v>31.99</v>
      </c>
      <c r="AB147" s="1">
        <v>29.99</v>
      </c>
      <c r="AC147" s="1">
        <v>0</v>
      </c>
      <c r="AD147" s="1">
        <v>142.50895</v>
      </c>
      <c r="AE147" s="1">
        <v>1160.43</v>
      </c>
      <c r="AG147" s="1">
        <v>0</v>
      </c>
      <c r="AH147" s="1">
        <v>0</v>
      </c>
      <c r="AI147" s="1">
        <v>0</v>
      </c>
      <c r="AJ147" s="1">
        <v>50</v>
      </c>
      <c r="AK147" s="1">
        <v>0</v>
      </c>
      <c r="AL147" s="1">
        <v>0</v>
      </c>
      <c r="AM147" s="1">
        <v>0</v>
      </c>
      <c r="AN147" s="1">
        <v>0</v>
      </c>
      <c r="AO147" s="1">
        <v>19.222876750000001</v>
      </c>
      <c r="AP147" s="1">
        <v>2.691202745</v>
      </c>
      <c r="AQ147" s="1">
        <v>963.55263000000002</v>
      </c>
      <c r="AR147" s="1">
        <v>963.55263000000002</v>
      </c>
      <c r="AS147" s="1">
        <v>240.88816</v>
      </c>
      <c r="AT147" s="1">
        <v>33.724342399999998</v>
      </c>
      <c r="AU147" s="1">
        <v>0</v>
      </c>
      <c r="AV147" s="2" t="s">
        <v>69</v>
      </c>
      <c r="AW147" s="1">
        <v>801.923</v>
      </c>
      <c r="AX147" s="1">
        <f>Table1[[#This Row],[Original Commissionable GMV]]-Table1[[#This Row],[Commission ]]-Table1[[#This Row],[Commission VAT]]-Table1[[#This Row],[FreeDeliveryFund]]</f>
        <v>688.9401276000001</v>
      </c>
      <c r="AY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M147" s="2"/>
    </row>
    <row r="148" spans="12:65" x14ac:dyDescent="0.25">
      <c r="L148" s="2">
        <v>504016</v>
      </c>
      <c r="M148" s="2" t="s">
        <v>52</v>
      </c>
      <c r="N148" s="2">
        <v>505839</v>
      </c>
      <c r="O148" t="s">
        <v>63</v>
      </c>
      <c r="P148">
        <v>3383226142</v>
      </c>
      <c r="Q148" s="5">
        <v>46027.781180555554</v>
      </c>
      <c r="R148" s="2" t="s">
        <v>54</v>
      </c>
      <c r="S148" s="2" t="s">
        <v>51</v>
      </c>
      <c r="T148" s="2" t="s">
        <v>55</v>
      </c>
      <c r="U148" s="2" t="s">
        <v>56</v>
      </c>
      <c r="V148" s="2" t="s">
        <v>57</v>
      </c>
      <c r="W148" s="2" t="s">
        <v>58</v>
      </c>
      <c r="X148" s="2" t="s">
        <v>59</v>
      </c>
      <c r="Y148" s="1">
        <v>707.96</v>
      </c>
      <c r="Z148" s="1">
        <v>707.96</v>
      </c>
      <c r="AA148" s="1">
        <v>0</v>
      </c>
      <c r="AB148" s="1">
        <v>29.99</v>
      </c>
      <c r="AC148" s="1">
        <v>0</v>
      </c>
      <c r="AD148" s="1">
        <v>90.625439999999998</v>
      </c>
      <c r="AE148" s="1">
        <v>737.95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12.3893</v>
      </c>
      <c r="AP148" s="1">
        <v>1.734502</v>
      </c>
      <c r="AQ148" s="1">
        <v>621.01754000000005</v>
      </c>
      <c r="AR148" s="1">
        <v>621.01754000000005</v>
      </c>
      <c r="AS148" s="1">
        <v>155.25439</v>
      </c>
      <c r="AT148" s="1">
        <v>21.735614600000002</v>
      </c>
      <c r="AU148" s="1">
        <v>30.99</v>
      </c>
      <c r="AV148" s="2" t="s">
        <v>60</v>
      </c>
      <c r="AW148" s="1">
        <v>485.85599999999999</v>
      </c>
      <c r="AX148" s="1">
        <f>Table1[[#This Row],[Original Commissionable GMV]]-Table1[[#This Row],[Commission ]]-Table1[[#This Row],[Commission VAT]]-Table1[[#This Row],[FreeDeliveryFund]]</f>
        <v>413.03753540000002</v>
      </c>
      <c r="AY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M148" s="2"/>
    </row>
    <row r="149" spans="12:65" x14ac:dyDescent="0.25">
      <c r="L149" s="2">
        <v>504016</v>
      </c>
      <c r="M149" s="2" t="s">
        <v>52</v>
      </c>
      <c r="N149" s="2">
        <v>505839</v>
      </c>
      <c r="O149" t="s">
        <v>63</v>
      </c>
      <c r="P149">
        <v>3383258207</v>
      </c>
      <c r="Q149" s="5">
        <v>46027.790671296294</v>
      </c>
      <c r="R149" s="2" t="s">
        <v>54</v>
      </c>
      <c r="S149" s="2" t="s">
        <v>51</v>
      </c>
      <c r="T149" s="2" t="s">
        <v>55</v>
      </c>
      <c r="U149" s="2" t="s">
        <v>59</v>
      </c>
      <c r="V149" s="2" t="s">
        <v>57</v>
      </c>
      <c r="W149" s="2" t="s">
        <v>58</v>
      </c>
      <c r="X149" s="2" t="s">
        <v>59</v>
      </c>
      <c r="Y149" s="1">
        <v>362.99</v>
      </c>
      <c r="Z149" s="1">
        <v>362.99</v>
      </c>
      <c r="AA149" s="1">
        <v>0</v>
      </c>
      <c r="AB149" s="1">
        <v>18.149999999999999</v>
      </c>
      <c r="AC149" s="1">
        <v>0</v>
      </c>
      <c r="AD149" s="1">
        <v>39.438249999999996</v>
      </c>
      <c r="AE149" s="1">
        <v>321.14</v>
      </c>
      <c r="AG149" s="1">
        <v>0</v>
      </c>
      <c r="AH149" s="1">
        <v>60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6.3523250000000004</v>
      </c>
      <c r="AP149" s="1">
        <v>0.88932549999999999</v>
      </c>
      <c r="AQ149" s="1">
        <v>318.41228000000001</v>
      </c>
      <c r="AR149" s="1">
        <v>318.41228000000001</v>
      </c>
      <c r="AS149" s="1">
        <v>79.603070000000002</v>
      </c>
      <c r="AT149" s="1">
        <v>11.144429799999999</v>
      </c>
      <c r="AU149" s="1">
        <v>26.99</v>
      </c>
      <c r="AV149" s="2" t="s">
        <v>60</v>
      </c>
      <c r="AW149" s="1">
        <v>238.011</v>
      </c>
      <c r="AX149" s="1">
        <f>Table1[[#This Row],[Original Commissionable GMV]]-Table1[[#This Row],[Commission ]]-Table1[[#This Row],[Commission VAT]]-Table1[[#This Row],[FreeDeliveryFund]]</f>
        <v>200.67478019999999</v>
      </c>
      <c r="AY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M149" s="2"/>
    </row>
    <row r="150" spans="12:65" x14ac:dyDescent="0.25">
      <c r="L150" s="2">
        <v>504016</v>
      </c>
      <c r="M150" s="2" t="s">
        <v>52</v>
      </c>
      <c r="N150" s="2">
        <v>505837</v>
      </c>
      <c r="O150" t="s">
        <v>53</v>
      </c>
      <c r="P150">
        <v>3383324807</v>
      </c>
      <c r="Q150" s="5">
        <v>46027.810439814813</v>
      </c>
      <c r="R150" s="2" t="s">
        <v>54</v>
      </c>
      <c r="S150" s="2" t="s">
        <v>51</v>
      </c>
      <c r="T150" s="2" t="s">
        <v>55</v>
      </c>
      <c r="U150" s="2" t="s">
        <v>59</v>
      </c>
      <c r="V150" s="2" t="s">
        <v>57</v>
      </c>
      <c r="W150" s="2" t="s">
        <v>58</v>
      </c>
      <c r="X150" s="2" t="s">
        <v>59</v>
      </c>
      <c r="Y150" s="1">
        <v>401.86</v>
      </c>
      <c r="Z150" s="1">
        <v>401.86</v>
      </c>
      <c r="AA150" s="1">
        <v>0</v>
      </c>
      <c r="AB150" s="1">
        <v>20.09</v>
      </c>
      <c r="AC150" s="1">
        <v>0</v>
      </c>
      <c r="AD150" s="1">
        <v>51.818420000000003</v>
      </c>
      <c r="AE150" s="1">
        <v>421.95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7.0325499999999996</v>
      </c>
      <c r="AP150" s="1">
        <v>0.98455700000000002</v>
      </c>
      <c r="AQ150" s="1">
        <v>352.50877000000003</v>
      </c>
      <c r="AR150" s="1">
        <v>352.50877000000003</v>
      </c>
      <c r="AS150" s="1">
        <v>88.127189999999999</v>
      </c>
      <c r="AT150" s="1">
        <v>12.3378066</v>
      </c>
      <c r="AU150" s="1">
        <v>30.99</v>
      </c>
      <c r="AV150" s="2" t="s">
        <v>60</v>
      </c>
      <c r="AW150" s="1">
        <v>262.38799999999998</v>
      </c>
      <c r="AX150" s="1">
        <f>Table1[[#This Row],[Original Commissionable GMV]]-Table1[[#This Row],[Commission ]]-Table1[[#This Row],[Commission VAT]]-Table1[[#This Row],[FreeDeliveryFund]]</f>
        <v>221.05377340000004</v>
      </c>
      <c r="AY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M150" s="2"/>
    </row>
    <row r="151" spans="12:65" x14ac:dyDescent="0.25">
      <c r="L151" s="2">
        <v>504016</v>
      </c>
      <c r="M151" s="2" t="s">
        <v>52</v>
      </c>
      <c r="N151" s="2">
        <v>505837</v>
      </c>
      <c r="O151" t="s">
        <v>63</v>
      </c>
      <c r="P151">
        <v>3383349468</v>
      </c>
      <c r="Q151" s="5">
        <v>46027.818171296298</v>
      </c>
      <c r="R151" s="2" t="s">
        <v>62</v>
      </c>
      <c r="S151" s="2" t="s">
        <v>51</v>
      </c>
      <c r="T151" s="2" t="s">
        <v>55</v>
      </c>
      <c r="U151" s="2" t="s">
        <v>59</v>
      </c>
      <c r="V151" s="2" t="s">
        <v>57</v>
      </c>
      <c r="W151" s="2" t="s">
        <v>58</v>
      </c>
      <c r="X151" s="2" t="s">
        <v>59</v>
      </c>
      <c r="Y151" s="1">
        <v>319.99</v>
      </c>
      <c r="Z151" s="1">
        <v>319.99</v>
      </c>
      <c r="AA151" s="1">
        <v>0</v>
      </c>
      <c r="AB151" s="1">
        <v>16</v>
      </c>
      <c r="AC151" s="1">
        <v>0</v>
      </c>
      <c r="AD151" s="1">
        <v>41.26193</v>
      </c>
      <c r="AE151" s="1">
        <v>335.99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30</v>
      </c>
      <c r="AN151" s="1">
        <v>4.2</v>
      </c>
      <c r="AO151" s="1">
        <v>0</v>
      </c>
      <c r="AP151" s="1">
        <v>0</v>
      </c>
      <c r="AQ151" s="1">
        <v>280.69297999999998</v>
      </c>
      <c r="AR151" s="1">
        <v>280.69297999999998</v>
      </c>
      <c r="AS151" s="1">
        <v>70.173249999999996</v>
      </c>
      <c r="AT151" s="1">
        <v>9.8242550000000008</v>
      </c>
      <c r="AU151" s="1">
        <v>26.99</v>
      </c>
      <c r="AV151" s="2" t="s">
        <v>60</v>
      </c>
      <c r="AW151" s="1">
        <v>178.80199999999999</v>
      </c>
      <c r="AX151" s="1">
        <f>Table1[[#This Row],[Original Commissionable GMV]]-Table1[[#This Row],[Commission ]]-Table1[[#This Row],[Commission VAT]]-Table1[[#This Row],[FreeDeliveryFund]]</f>
        <v>173.70547499999998</v>
      </c>
      <c r="AY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M151" s="2"/>
    </row>
    <row r="152" spans="12:65" x14ac:dyDescent="0.25">
      <c r="L152" s="2">
        <v>504016</v>
      </c>
      <c r="M152" s="2" t="s">
        <v>52</v>
      </c>
      <c r="N152" s="2">
        <v>505839</v>
      </c>
      <c r="O152" t="s">
        <v>53</v>
      </c>
      <c r="P152">
        <v>3383370383</v>
      </c>
      <c r="Q152" s="5">
        <v>46027.82471064815</v>
      </c>
      <c r="R152" s="2" t="s">
        <v>54</v>
      </c>
      <c r="S152" s="2" t="s">
        <v>51</v>
      </c>
      <c r="T152" s="2" t="s">
        <v>55</v>
      </c>
      <c r="U152" s="2" t="s">
        <v>59</v>
      </c>
      <c r="V152" s="2" t="s">
        <v>57</v>
      </c>
      <c r="W152" s="2" t="s">
        <v>58</v>
      </c>
      <c r="X152" s="2" t="s">
        <v>59</v>
      </c>
      <c r="Y152" s="1">
        <v>592.98</v>
      </c>
      <c r="Z152" s="1">
        <v>592.98</v>
      </c>
      <c r="AA152" s="1">
        <v>0</v>
      </c>
      <c r="AB152" s="1">
        <v>29.65</v>
      </c>
      <c r="AC152" s="1">
        <v>0</v>
      </c>
      <c r="AD152" s="1">
        <v>76.463329999999999</v>
      </c>
      <c r="AE152" s="1">
        <v>622.63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10.37715</v>
      </c>
      <c r="AP152" s="1">
        <v>1.452801</v>
      </c>
      <c r="AQ152" s="1">
        <v>520.15788999999995</v>
      </c>
      <c r="AR152" s="1">
        <v>520.15788999999995</v>
      </c>
      <c r="AS152" s="1">
        <v>130.03946999999999</v>
      </c>
      <c r="AT152" s="1">
        <v>18.2055258</v>
      </c>
      <c r="AU152" s="1">
        <v>33.99</v>
      </c>
      <c r="AV152" s="2" t="s">
        <v>60</v>
      </c>
      <c r="AW152" s="1">
        <v>398.91500000000002</v>
      </c>
      <c r="AX152" s="1">
        <f>Table1[[#This Row],[Original Commissionable GMV]]-Table1[[#This Row],[Commission ]]-Table1[[#This Row],[Commission VAT]]-Table1[[#This Row],[FreeDeliveryFund]]</f>
        <v>337.92289419999997</v>
      </c>
      <c r="AY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M152" s="2"/>
    </row>
    <row r="153" spans="12:65" x14ac:dyDescent="0.25">
      <c r="L153" s="2">
        <v>504016</v>
      </c>
      <c r="M153" s="2" t="s">
        <v>52</v>
      </c>
      <c r="N153" s="2">
        <v>505839</v>
      </c>
      <c r="O153" t="s">
        <v>63</v>
      </c>
      <c r="P153">
        <v>3383391973</v>
      </c>
      <c r="Q153" s="5">
        <v>46027.831585648149</v>
      </c>
      <c r="R153" s="2" t="s">
        <v>54</v>
      </c>
      <c r="S153" s="2" t="s">
        <v>51</v>
      </c>
      <c r="T153" s="2" t="s">
        <v>55</v>
      </c>
      <c r="U153" s="2" t="s">
        <v>56</v>
      </c>
      <c r="V153" s="2" t="s">
        <v>57</v>
      </c>
      <c r="W153" s="2" t="s">
        <v>58</v>
      </c>
      <c r="X153" s="2" t="s">
        <v>59</v>
      </c>
      <c r="Y153" s="1">
        <v>266.58</v>
      </c>
      <c r="Z153" s="1">
        <v>305.58</v>
      </c>
      <c r="AA153" s="1">
        <v>0</v>
      </c>
      <c r="AB153" s="1">
        <v>15.28</v>
      </c>
      <c r="AC153" s="1">
        <v>0</v>
      </c>
      <c r="AD153" s="1">
        <v>39.403860000000002</v>
      </c>
      <c r="AE153" s="1">
        <v>281.86</v>
      </c>
      <c r="AG153" s="1">
        <v>0</v>
      </c>
      <c r="AH153" s="1">
        <v>39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4.6651499999999997</v>
      </c>
      <c r="AP153" s="1">
        <v>0.65312099999999995</v>
      </c>
      <c r="AQ153" s="1">
        <v>233.84210999999999</v>
      </c>
      <c r="AR153" s="1">
        <v>233.84210999999999</v>
      </c>
      <c r="AS153" s="1">
        <v>58.460529999999999</v>
      </c>
      <c r="AT153" s="1">
        <v>8.1844742000000004</v>
      </c>
      <c r="AU153" s="1">
        <v>28.99</v>
      </c>
      <c r="AV153" s="2" t="s">
        <v>60</v>
      </c>
      <c r="AW153" s="1">
        <v>165.62700000000001</v>
      </c>
      <c r="AX153" s="1">
        <f>Table1[[#This Row],[Original Commissionable GMV]]-Table1[[#This Row],[Commission ]]-Table1[[#This Row],[Commission VAT]]-Table1[[#This Row],[FreeDeliveryFund]]</f>
        <v>138.20710579999997</v>
      </c>
      <c r="AY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M153" s="2"/>
    </row>
    <row r="154" spans="12:65" x14ac:dyDescent="0.25">
      <c r="L154" s="2">
        <v>504016</v>
      </c>
      <c r="M154" s="2" t="s">
        <v>52</v>
      </c>
      <c r="N154" s="2">
        <v>505839</v>
      </c>
      <c r="O154" t="s">
        <v>53</v>
      </c>
      <c r="P154">
        <v>3383437441</v>
      </c>
      <c r="Q154" s="5">
        <v>46027.846319444441</v>
      </c>
      <c r="R154" s="2" t="s">
        <v>62</v>
      </c>
      <c r="S154" s="2" t="s">
        <v>51</v>
      </c>
      <c r="T154" s="2" t="s">
        <v>55</v>
      </c>
      <c r="U154" s="2" t="s">
        <v>59</v>
      </c>
      <c r="V154" s="2" t="s">
        <v>57</v>
      </c>
      <c r="W154" s="2" t="s">
        <v>58</v>
      </c>
      <c r="X154" s="2" t="s">
        <v>59</v>
      </c>
      <c r="Y154" s="1">
        <v>367.67</v>
      </c>
      <c r="Z154" s="1">
        <v>367.67</v>
      </c>
      <c r="AA154" s="1">
        <v>34.99</v>
      </c>
      <c r="AB154" s="1">
        <v>18.38</v>
      </c>
      <c r="AC154" s="1">
        <v>0</v>
      </c>
      <c r="AD154" s="1">
        <v>51.706670000000003</v>
      </c>
      <c r="AE154" s="1">
        <v>421.04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322.51754</v>
      </c>
      <c r="AR154" s="1">
        <v>322.51754</v>
      </c>
      <c r="AS154" s="1">
        <v>80.629390000000001</v>
      </c>
      <c r="AT154" s="1">
        <v>11.2881146</v>
      </c>
      <c r="AU154" s="1">
        <v>0</v>
      </c>
      <c r="AV154" s="2" t="s">
        <v>69</v>
      </c>
      <c r="AW154" s="1">
        <v>275.75200000000001</v>
      </c>
      <c r="AX154" s="1">
        <f>Table1[[#This Row],[Original Commissionable GMV]]-Table1[[#This Row],[Commission ]]-Table1[[#This Row],[Commission VAT]]-Table1[[#This Row],[FreeDeliveryFund]]</f>
        <v>230.6000354</v>
      </c>
      <c r="AY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M154" s="2"/>
    </row>
    <row r="155" spans="12:65" x14ac:dyDescent="0.25">
      <c r="L155" s="2">
        <v>504016</v>
      </c>
      <c r="M155" s="2" t="s">
        <v>52</v>
      </c>
      <c r="N155" s="2">
        <v>505839</v>
      </c>
      <c r="O155" t="s">
        <v>65</v>
      </c>
      <c r="P155">
        <v>3383561811</v>
      </c>
      <c r="Q155" s="5">
        <v>46027.891134259262</v>
      </c>
      <c r="R155" s="2" t="s">
        <v>62</v>
      </c>
      <c r="S155" s="2" t="s">
        <v>51</v>
      </c>
      <c r="T155" s="2" t="s">
        <v>55</v>
      </c>
      <c r="U155" s="2" t="s">
        <v>56</v>
      </c>
      <c r="V155" s="2" t="s">
        <v>57</v>
      </c>
      <c r="W155" s="2" t="s">
        <v>58</v>
      </c>
      <c r="X155" s="2" t="s">
        <v>59</v>
      </c>
      <c r="Y155" s="1">
        <v>554.99</v>
      </c>
      <c r="Z155" s="1">
        <v>554.99</v>
      </c>
      <c r="AA155" s="1">
        <v>0</v>
      </c>
      <c r="AB155" s="1">
        <v>27.75</v>
      </c>
      <c r="AC155" s="1">
        <v>0</v>
      </c>
      <c r="AD155" s="1">
        <v>71.56456</v>
      </c>
      <c r="AE155" s="1">
        <v>582.74</v>
      </c>
      <c r="AG155" s="1">
        <v>0</v>
      </c>
      <c r="AH155" s="1">
        <v>0</v>
      </c>
      <c r="AI155" s="1">
        <v>0</v>
      </c>
      <c r="AJ155" s="1">
        <v>137.79</v>
      </c>
      <c r="AK155" s="1">
        <v>0</v>
      </c>
      <c r="AL155" s="1">
        <v>0</v>
      </c>
      <c r="AM155" s="1">
        <v>30</v>
      </c>
      <c r="AN155" s="1">
        <v>4.2</v>
      </c>
      <c r="AO155" s="1">
        <v>0</v>
      </c>
      <c r="AP155" s="1">
        <v>0</v>
      </c>
      <c r="AQ155" s="1">
        <v>486.83332999999999</v>
      </c>
      <c r="AR155" s="1">
        <v>486.83332999999999</v>
      </c>
      <c r="AS155" s="1">
        <v>121.70833</v>
      </c>
      <c r="AT155" s="1">
        <v>17.0391662</v>
      </c>
      <c r="AU155" s="1">
        <v>0</v>
      </c>
      <c r="AV155" s="2" t="s">
        <v>69</v>
      </c>
      <c r="AW155" s="1">
        <v>382.04300000000001</v>
      </c>
      <c r="AX155" s="1">
        <f>Table1[[#This Row],[Original Commissionable GMV]]-Table1[[#This Row],[Commission ]]-Table1[[#This Row],[Commission VAT]]-Table1[[#This Row],[FreeDeliveryFund]]</f>
        <v>348.08583379999999</v>
      </c>
      <c r="AY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M155" s="2"/>
    </row>
    <row r="156" spans="12:65" x14ac:dyDescent="0.25">
      <c r="L156" s="2">
        <v>504016</v>
      </c>
      <c r="M156" s="2" t="s">
        <v>52</v>
      </c>
      <c r="N156" s="2">
        <v>505835</v>
      </c>
      <c r="O156" t="s">
        <v>63</v>
      </c>
      <c r="P156">
        <v>3383571653</v>
      </c>
      <c r="Q156" s="5">
        <v>46027.895046296297</v>
      </c>
      <c r="R156" s="2" t="s">
        <v>54</v>
      </c>
      <c r="S156" s="2" t="s">
        <v>51</v>
      </c>
      <c r="T156" s="2" t="s">
        <v>55</v>
      </c>
      <c r="U156" s="2" t="s">
        <v>56</v>
      </c>
      <c r="V156" s="2" t="s">
        <v>57</v>
      </c>
      <c r="W156" s="2" t="s">
        <v>58</v>
      </c>
      <c r="X156" s="2" t="s">
        <v>59</v>
      </c>
      <c r="Y156" s="1">
        <v>453.99</v>
      </c>
      <c r="Z156" s="1">
        <v>453.99</v>
      </c>
      <c r="AA156" s="1">
        <v>29.99</v>
      </c>
      <c r="AB156" s="1">
        <v>22.7</v>
      </c>
      <c r="AC156" s="1">
        <v>0</v>
      </c>
      <c r="AD156" s="1">
        <v>62.223860000000002</v>
      </c>
      <c r="AE156" s="1">
        <v>506.68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7.9448249999999998</v>
      </c>
      <c r="AP156" s="1">
        <v>1.1122755</v>
      </c>
      <c r="AQ156" s="1">
        <v>398.23683999999997</v>
      </c>
      <c r="AR156" s="1">
        <v>398.23683999999997</v>
      </c>
      <c r="AS156" s="1">
        <v>99.559209999999993</v>
      </c>
      <c r="AT156" s="1">
        <v>13.9382894</v>
      </c>
      <c r="AU156" s="1">
        <v>0</v>
      </c>
      <c r="AV156" s="2" t="s">
        <v>69</v>
      </c>
      <c r="AW156" s="1">
        <v>331.435</v>
      </c>
      <c r="AX156" s="1">
        <f>Table1[[#This Row],[Original Commissionable GMV]]-Table1[[#This Row],[Commission ]]-Table1[[#This Row],[Commission VAT]]-Table1[[#This Row],[FreeDeliveryFund]]</f>
        <v>284.73934059999999</v>
      </c>
      <c r="AY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M156" s="2"/>
    </row>
    <row r="157" spans="12:65" x14ac:dyDescent="0.25">
      <c r="L157" s="2">
        <v>504016</v>
      </c>
      <c r="M157" s="2" t="s">
        <v>52</v>
      </c>
      <c r="N157" s="2">
        <v>505839</v>
      </c>
      <c r="O157" t="s">
        <v>53</v>
      </c>
      <c r="P157">
        <v>3384247904</v>
      </c>
      <c r="Q157" s="5">
        <v>46028.507384259261</v>
      </c>
      <c r="R157" s="2" t="s">
        <v>54</v>
      </c>
      <c r="S157" s="2" t="s">
        <v>51</v>
      </c>
      <c r="T157" s="2" t="s">
        <v>55</v>
      </c>
      <c r="U157" s="2" t="s">
        <v>59</v>
      </c>
      <c r="V157" s="2" t="s">
        <v>57</v>
      </c>
      <c r="W157" s="2" t="s">
        <v>58</v>
      </c>
      <c r="X157" s="2" t="s">
        <v>59</v>
      </c>
      <c r="Y157" s="1">
        <v>443.67</v>
      </c>
      <c r="Z157" s="1">
        <v>443.67</v>
      </c>
      <c r="AA157" s="1">
        <v>42.99</v>
      </c>
      <c r="AB157" s="1">
        <v>22.18</v>
      </c>
      <c r="AC157" s="1">
        <v>0</v>
      </c>
      <c r="AD157" s="1">
        <v>62.48912</v>
      </c>
      <c r="AE157" s="1">
        <v>508.84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7.7642249999999997</v>
      </c>
      <c r="AP157" s="1">
        <v>1.0869915000000001</v>
      </c>
      <c r="AQ157" s="1">
        <v>389.18421000000001</v>
      </c>
      <c r="AR157" s="1">
        <v>389.18421000000001</v>
      </c>
      <c r="AS157" s="1">
        <v>97.296049999999994</v>
      </c>
      <c r="AT157" s="1">
        <v>13.621447</v>
      </c>
      <c r="AU157" s="1">
        <v>0</v>
      </c>
      <c r="AV157" s="2" t="s">
        <v>69</v>
      </c>
      <c r="AW157" s="1">
        <v>323.90100000000001</v>
      </c>
      <c r="AX157" s="1">
        <f>Table1[[#This Row],[Original Commissionable GMV]]-Table1[[#This Row],[Commission ]]-Table1[[#This Row],[Commission VAT]]-Table1[[#This Row],[FreeDeliveryFund]]</f>
        <v>278.26671300000004</v>
      </c>
      <c r="AY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M157" s="2"/>
    </row>
    <row r="158" spans="12:65" x14ac:dyDescent="0.25">
      <c r="L158" s="2">
        <v>504016</v>
      </c>
      <c r="M158" s="2" t="s">
        <v>52</v>
      </c>
      <c r="N158" s="2">
        <v>505837</v>
      </c>
      <c r="O158" t="s">
        <v>53</v>
      </c>
      <c r="P158">
        <v>3384272409</v>
      </c>
      <c r="Q158" s="5">
        <v>46028.518449074072</v>
      </c>
      <c r="R158" s="2" t="s">
        <v>54</v>
      </c>
      <c r="S158" s="2" t="s">
        <v>51</v>
      </c>
      <c r="T158" s="2" t="s">
        <v>55</v>
      </c>
      <c r="U158" s="2" t="s">
        <v>56</v>
      </c>
      <c r="V158" s="2" t="s">
        <v>57</v>
      </c>
      <c r="W158" s="2" t="s">
        <v>58</v>
      </c>
      <c r="X158" s="2" t="s">
        <v>59</v>
      </c>
      <c r="Y158" s="1">
        <v>264.99</v>
      </c>
      <c r="Z158" s="1">
        <v>264.99</v>
      </c>
      <c r="AA158" s="1">
        <v>9</v>
      </c>
      <c r="AB158" s="1">
        <v>13.25</v>
      </c>
      <c r="AC158" s="1">
        <v>0</v>
      </c>
      <c r="AD158" s="1">
        <v>35.275089999999999</v>
      </c>
      <c r="AE158" s="1">
        <v>287.24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4.6373249999999997</v>
      </c>
      <c r="AP158" s="1">
        <v>0.64922550000000001</v>
      </c>
      <c r="AQ158" s="1">
        <v>232.44737000000001</v>
      </c>
      <c r="AR158" s="1">
        <v>232.44737000000001</v>
      </c>
      <c r="AS158" s="1">
        <v>58.111840000000001</v>
      </c>
      <c r="AT158" s="1">
        <v>8.1356576</v>
      </c>
      <c r="AU158" s="1">
        <v>32.99</v>
      </c>
      <c r="AV158" s="2" t="s">
        <v>60</v>
      </c>
      <c r="AW158" s="1">
        <v>160.46600000000001</v>
      </c>
      <c r="AX158" s="1">
        <f>Table1[[#This Row],[Original Commissionable GMV]]-Table1[[#This Row],[Commission ]]-Table1[[#This Row],[Commission VAT]]-Table1[[#This Row],[FreeDeliveryFund]]</f>
        <v>133.20987239999999</v>
      </c>
      <c r="AY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M158" s="2"/>
    </row>
    <row r="159" spans="12:65" x14ac:dyDescent="0.25">
      <c r="L159" s="2">
        <v>504016</v>
      </c>
      <c r="M159" s="2" t="s">
        <v>52</v>
      </c>
      <c r="N159" s="2">
        <v>505839</v>
      </c>
      <c r="O159" t="s">
        <v>63</v>
      </c>
      <c r="P159">
        <v>3384392007</v>
      </c>
      <c r="Q159" s="5">
        <v>46028.570543981485</v>
      </c>
      <c r="R159" s="2" t="s">
        <v>62</v>
      </c>
      <c r="S159" s="2" t="s">
        <v>51</v>
      </c>
      <c r="T159" s="2" t="s">
        <v>55</v>
      </c>
      <c r="U159" s="2" t="s">
        <v>56</v>
      </c>
      <c r="V159" s="2" t="s">
        <v>57</v>
      </c>
      <c r="W159" s="2" t="s">
        <v>58</v>
      </c>
      <c r="X159" s="2" t="s">
        <v>59</v>
      </c>
      <c r="Y159" s="1">
        <v>683.65</v>
      </c>
      <c r="Z159" s="1">
        <v>683.65</v>
      </c>
      <c r="AA159" s="1">
        <v>27.99</v>
      </c>
      <c r="AB159" s="1">
        <v>29.99</v>
      </c>
      <c r="AC159" s="1">
        <v>0</v>
      </c>
      <c r="AD159" s="1">
        <v>91.077370000000002</v>
      </c>
      <c r="AE159" s="1">
        <v>741.63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599.69298000000003</v>
      </c>
      <c r="AR159" s="1">
        <v>599.69298000000003</v>
      </c>
      <c r="AS159" s="1">
        <v>149.92325</v>
      </c>
      <c r="AT159" s="1">
        <v>20.989255</v>
      </c>
      <c r="AU159" s="1">
        <v>0</v>
      </c>
      <c r="AV159" s="2" t="s">
        <v>69</v>
      </c>
      <c r="AW159" s="1">
        <v>512.73699999999997</v>
      </c>
      <c r="AX159" s="1">
        <f>Table1[[#This Row],[Original Commissionable GMV]]-Table1[[#This Row],[Commission ]]-Table1[[#This Row],[Commission VAT]]-Table1[[#This Row],[FreeDeliveryFund]]</f>
        <v>428.78047500000002</v>
      </c>
      <c r="AY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M159" s="2"/>
    </row>
    <row r="160" spans="12:65" x14ac:dyDescent="0.25">
      <c r="L160" s="2">
        <v>504016</v>
      </c>
      <c r="M160" s="2" t="s">
        <v>52</v>
      </c>
      <c r="N160" s="2">
        <v>505837</v>
      </c>
      <c r="O160" t="s">
        <v>53</v>
      </c>
      <c r="P160">
        <v>3384416719</v>
      </c>
      <c r="Q160" s="5">
        <v>46028.581064814818</v>
      </c>
      <c r="R160" s="2" t="s">
        <v>54</v>
      </c>
      <c r="S160" s="2" t="s">
        <v>51</v>
      </c>
      <c r="T160" s="2" t="s">
        <v>55</v>
      </c>
      <c r="U160" s="2" t="s">
        <v>56</v>
      </c>
      <c r="V160" s="2" t="s">
        <v>57</v>
      </c>
      <c r="W160" s="2" t="s">
        <v>58</v>
      </c>
      <c r="X160" s="2" t="s">
        <v>59</v>
      </c>
      <c r="Y160" s="1">
        <v>701.13</v>
      </c>
      <c r="Z160" s="1">
        <v>748.98</v>
      </c>
      <c r="AA160" s="1">
        <v>0</v>
      </c>
      <c r="AB160" s="1">
        <v>29.99</v>
      </c>
      <c r="AC160" s="1">
        <v>0</v>
      </c>
      <c r="AD160" s="1">
        <v>95.662980000000005</v>
      </c>
      <c r="AE160" s="1">
        <v>731.12</v>
      </c>
      <c r="AG160" s="1">
        <v>0</v>
      </c>
      <c r="AH160" s="1">
        <v>47.85</v>
      </c>
      <c r="AI160" s="1">
        <v>0</v>
      </c>
      <c r="AJ160" s="1">
        <v>0</v>
      </c>
      <c r="AK160" s="1">
        <v>0</v>
      </c>
      <c r="AL160" s="1">
        <v>0</v>
      </c>
      <c r="AM160" s="1">
        <v>30</v>
      </c>
      <c r="AN160" s="1">
        <v>4.2</v>
      </c>
      <c r="AO160" s="1">
        <v>12.269774999999999</v>
      </c>
      <c r="AP160" s="1">
        <v>1.7177685</v>
      </c>
      <c r="AQ160" s="1">
        <v>615.02632000000006</v>
      </c>
      <c r="AR160" s="1">
        <v>615.02632000000006</v>
      </c>
      <c r="AS160" s="1">
        <v>153.75658000000001</v>
      </c>
      <c r="AT160" s="1">
        <v>21.525921199999999</v>
      </c>
      <c r="AU160" s="1">
        <v>35.99</v>
      </c>
      <c r="AV160" s="2" t="s">
        <v>60</v>
      </c>
      <c r="AW160" s="1">
        <v>441.67</v>
      </c>
      <c r="AX160" s="1">
        <f>Table1[[#This Row],[Original Commissionable GMV]]-Table1[[#This Row],[Commission ]]-Table1[[#This Row],[Commission VAT]]-Table1[[#This Row],[FreeDeliveryFund]]</f>
        <v>403.75381880000009</v>
      </c>
      <c r="AY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M160" s="2"/>
    </row>
    <row r="161" spans="12:65" x14ac:dyDescent="0.25">
      <c r="L161" s="2">
        <v>504016</v>
      </c>
      <c r="M161" s="2" t="s">
        <v>52</v>
      </c>
      <c r="N161" s="2">
        <v>505839</v>
      </c>
      <c r="O161" t="s">
        <v>63</v>
      </c>
      <c r="P161">
        <v>3384466772</v>
      </c>
      <c r="Q161" s="5">
        <v>46028.602094907408</v>
      </c>
      <c r="R161" s="2" t="s">
        <v>62</v>
      </c>
      <c r="S161" s="2" t="s">
        <v>51</v>
      </c>
      <c r="T161" s="2" t="s">
        <v>55</v>
      </c>
      <c r="U161" s="2" t="s">
        <v>56</v>
      </c>
      <c r="V161" s="2" t="s">
        <v>57</v>
      </c>
      <c r="W161" s="2" t="s">
        <v>58</v>
      </c>
      <c r="X161" s="2" t="s">
        <v>59</v>
      </c>
      <c r="Y161" s="1">
        <v>2510.96</v>
      </c>
      <c r="Z161" s="1">
        <v>2510.96</v>
      </c>
      <c r="AA161" s="1">
        <v>29.99</v>
      </c>
      <c r="AB161" s="1">
        <v>29.99</v>
      </c>
      <c r="AC161" s="1">
        <v>0</v>
      </c>
      <c r="AD161" s="1">
        <v>315.72946999999999</v>
      </c>
      <c r="AE161" s="1">
        <v>2570.94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2202.5964899999999</v>
      </c>
      <c r="AR161" s="1">
        <v>2202.5964899999999</v>
      </c>
      <c r="AS161" s="1">
        <v>550.64912000000004</v>
      </c>
      <c r="AT161" s="1">
        <v>77.090876800000004</v>
      </c>
      <c r="AU161" s="1">
        <v>0</v>
      </c>
      <c r="AV161" s="2" t="s">
        <v>69</v>
      </c>
      <c r="AW161" s="1">
        <v>1883.22</v>
      </c>
      <c r="AX161" s="1">
        <f>Table1[[#This Row],[Original Commissionable GMV]]-Table1[[#This Row],[Commission ]]-Table1[[#This Row],[Commission VAT]]-Table1[[#This Row],[FreeDeliveryFund]]</f>
        <v>1574.8564931999999</v>
      </c>
      <c r="AY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M161" s="2"/>
    </row>
    <row r="162" spans="12:65" x14ac:dyDescent="0.25">
      <c r="L162" s="2">
        <v>504016</v>
      </c>
      <c r="M162" s="2" t="s">
        <v>52</v>
      </c>
      <c r="N162" s="2">
        <v>505839</v>
      </c>
      <c r="O162" t="s">
        <v>53</v>
      </c>
      <c r="P162">
        <v>3384506602</v>
      </c>
      <c r="Q162" s="5">
        <v>46028.618645833332</v>
      </c>
      <c r="R162" s="2" t="s">
        <v>54</v>
      </c>
      <c r="S162" s="2" t="s">
        <v>51</v>
      </c>
      <c r="T162" s="2" t="s">
        <v>55</v>
      </c>
      <c r="U162" s="2" t="s">
        <v>59</v>
      </c>
      <c r="V162" s="2" t="s">
        <v>57</v>
      </c>
      <c r="W162" s="2" t="s">
        <v>58</v>
      </c>
      <c r="X162" s="2" t="s">
        <v>59</v>
      </c>
      <c r="Y162" s="1">
        <v>1204.97</v>
      </c>
      <c r="Z162" s="1">
        <v>1204.97</v>
      </c>
      <c r="AA162" s="1">
        <v>34.99</v>
      </c>
      <c r="AB162" s="1">
        <v>29.99</v>
      </c>
      <c r="AC162" s="1">
        <v>0</v>
      </c>
      <c r="AD162" s="1">
        <v>155.95876999999999</v>
      </c>
      <c r="AE162" s="1">
        <v>1269.95</v>
      </c>
      <c r="AG162" s="1">
        <v>0</v>
      </c>
      <c r="AH162" s="1">
        <v>0</v>
      </c>
      <c r="AI162" s="1">
        <v>132.24</v>
      </c>
      <c r="AJ162" s="1">
        <v>0</v>
      </c>
      <c r="AK162" s="1">
        <v>132.24</v>
      </c>
      <c r="AL162" s="1">
        <v>0</v>
      </c>
      <c r="AM162" s="1">
        <v>30</v>
      </c>
      <c r="AN162" s="1">
        <v>4.2</v>
      </c>
      <c r="AO162" s="1">
        <v>21.086974999999999</v>
      </c>
      <c r="AP162" s="1">
        <v>2.9521765000000002</v>
      </c>
      <c r="AQ162" s="1">
        <v>1056.9912300000001</v>
      </c>
      <c r="AR162" s="1">
        <v>1056.9912300000001</v>
      </c>
      <c r="AS162" s="1">
        <v>264.24781000000002</v>
      </c>
      <c r="AT162" s="1">
        <v>36.994693400000003</v>
      </c>
      <c r="AU162" s="1">
        <v>0</v>
      </c>
      <c r="AV162" s="2" t="s">
        <v>69</v>
      </c>
      <c r="AW162" s="1">
        <v>845.48800000000006</v>
      </c>
      <c r="AX162" s="1">
        <f>Table1[[#This Row],[Original Commissionable GMV]]-Table1[[#This Row],[Commission ]]-Table1[[#This Row],[Commission VAT]]-Table1[[#This Row],[FreeDeliveryFund]]</f>
        <v>755.74872660000005</v>
      </c>
      <c r="AY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M162" s="2"/>
    </row>
    <row r="163" spans="12:65" x14ac:dyDescent="0.25">
      <c r="L163" s="2">
        <v>504016</v>
      </c>
      <c r="M163" s="2" t="s">
        <v>52</v>
      </c>
      <c r="N163" s="2">
        <v>505839</v>
      </c>
      <c r="O163" t="s">
        <v>63</v>
      </c>
      <c r="P163">
        <v>3384534234</v>
      </c>
      <c r="Q163" s="5">
        <v>46028.629791666666</v>
      </c>
      <c r="R163" s="2" t="s">
        <v>54</v>
      </c>
      <c r="S163" s="2" t="s">
        <v>51</v>
      </c>
      <c r="T163" s="2" t="s">
        <v>55</v>
      </c>
      <c r="U163" s="2" t="s">
        <v>56</v>
      </c>
      <c r="V163" s="2" t="s">
        <v>57</v>
      </c>
      <c r="W163" s="2" t="s">
        <v>58</v>
      </c>
      <c r="X163" s="2" t="s">
        <v>59</v>
      </c>
      <c r="Y163" s="1">
        <v>453.97</v>
      </c>
      <c r="Z163" s="1">
        <v>489.97</v>
      </c>
      <c r="AA163" s="1">
        <v>0</v>
      </c>
      <c r="AB163" s="1">
        <v>24.5</v>
      </c>
      <c r="AC163" s="1">
        <v>0</v>
      </c>
      <c r="AD163" s="1">
        <v>63.180529999999997</v>
      </c>
      <c r="AE163" s="1">
        <v>478.47</v>
      </c>
      <c r="AG163" s="1">
        <v>0</v>
      </c>
      <c r="AH163" s="1">
        <v>36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7.9444749999999997</v>
      </c>
      <c r="AP163" s="1">
        <v>1.1122265</v>
      </c>
      <c r="AQ163" s="1">
        <v>398.21929999999998</v>
      </c>
      <c r="AR163" s="1">
        <v>398.21929999999998</v>
      </c>
      <c r="AS163" s="1">
        <v>99.554829999999995</v>
      </c>
      <c r="AT163" s="1">
        <v>13.9376762</v>
      </c>
      <c r="AU163" s="1">
        <v>27.99</v>
      </c>
      <c r="AV163" s="2" t="s">
        <v>60</v>
      </c>
      <c r="AW163" s="1">
        <v>303.43099999999998</v>
      </c>
      <c r="AX163" s="1">
        <f>Table1[[#This Row],[Original Commissionable GMV]]-Table1[[#This Row],[Commission ]]-Table1[[#This Row],[Commission VAT]]-Table1[[#This Row],[FreeDeliveryFund]]</f>
        <v>256.73679379999999</v>
      </c>
      <c r="AY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M163" s="2"/>
    </row>
    <row r="164" spans="12:65" x14ac:dyDescent="0.25">
      <c r="L164" s="2">
        <v>504016</v>
      </c>
      <c r="M164" s="2" t="s">
        <v>52</v>
      </c>
      <c r="N164" s="2">
        <v>505837</v>
      </c>
      <c r="O164" t="s">
        <v>63</v>
      </c>
      <c r="P164">
        <v>3384549590</v>
      </c>
      <c r="Q164" s="5">
        <v>46028.635833333334</v>
      </c>
      <c r="R164" s="2" t="s">
        <v>54</v>
      </c>
      <c r="S164" s="2" t="s">
        <v>51</v>
      </c>
      <c r="T164" s="2" t="s">
        <v>55</v>
      </c>
      <c r="U164" s="2" t="s">
        <v>59</v>
      </c>
      <c r="V164" s="2" t="s">
        <v>57</v>
      </c>
      <c r="W164" s="2" t="s">
        <v>58</v>
      </c>
      <c r="X164" s="2" t="s">
        <v>59</v>
      </c>
      <c r="Y164" s="1">
        <v>1749.02</v>
      </c>
      <c r="Z164" s="1">
        <v>1785.02</v>
      </c>
      <c r="AA164" s="1">
        <v>0</v>
      </c>
      <c r="AB164" s="1">
        <v>29.99</v>
      </c>
      <c r="AC164" s="1">
        <v>0</v>
      </c>
      <c r="AD164" s="1">
        <v>222.89596</v>
      </c>
      <c r="AE164" s="1">
        <v>1779.01</v>
      </c>
      <c r="AG164" s="1">
        <v>0</v>
      </c>
      <c r="AH164" s="1">
        <v>36</v>
      </c>
      <c r="AI164" s="1">
        <v>0</v>
      </c>
      <c r="AJ164" s="1">
        <v>0</v>
      </c>
      <c r="AK164" s="1">
        <v>0</v>
      </c>
      <c r="AL164" s="1">
        <v>0</v>
      </c>
      <c r="AM164" s="1">
        <v>30</v>
      </c>
      <c r="AN164" s="1">
        <v>4.2</v>
      </c>
      <c r="AO164" s="1">
        <v>30.607849999999999</v>
      </c>
      <c r="AP164" s="1">
        <v>4.2850989999999998</v>
      </c>
      <c r="AQ164" s="1">
        <v>1534.2280699999999</v>
      </c>
      <c r="AR164" s="1">
        <v>1534.2280699999999</v>
      </c>
      <c r="AS164" s="1">
        <v>383.55702000000002</v>
      </c>
      <c r="AT164" s="1">
        <v>53.697982799999998</v>
      </c>
      <c r="AU164" s="1">
        <v>28.99</v>
      </c>
      <c r="AV164" s="2" t="s">
        <v>60</v>
      </c>
      <c r="AW164" s="1">
        <v>1213.682</v>
      </c>
      <c r="AX164" s="1">
        <f>Table1[[#This Row],[Original Commissionable GMV]]-Table1[[#This Row],[Commission ]]-Table1[[#This Row],[Commission VAT]]-Table1[[#This Row],[FreeDeliveryFund]]</f>
        <v>1067.9830671999998</v>
      </c>
      <c r="AY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M164" s="2"/>
    </row>
    <row r="165" spans="12:65" x14ac:dyDescent="0.25">
      <c r="L165" s="2">
        <v>504016</v>
      </c>
      <c r="M165" s="2" t="s">
        <v>52</v>
      </c>
      <c r="N165" s="2">
        <v>505839</v>
      </c>
      <c r="O165" t="s">
        <v>53</v>
      </c>
      <c r="P165">
        <v>3384574515</v>
      </c>
      <c r="Q165" s="5">
        <v>46028.64576388889</v>
      </c>
      <c r="R165" s="2" t="s">
        <v>54</v>
      </c>
      <c r="S165" s="2" t="s">
        <v>51</v>
      </c>
      <c r="T165" s="2" t="s">
        <v>55</v>
      </c>
      <c r="U165" s="2" t="s">
        <v>59</v>
      </c>
      <c r="V165" s="2" t="s">
        <v>57</v>
      </c>
      <c r="W165" s="2" t="s">
        <v>58</v>
      </c>
      <c r="X165" s="2" t="s">
        <v>59</v>
      </c>
      <c r="Y165" s="1">
        <v>429.99</v>
      </c>
      <c r="Z165" s="1">
        <v>429.99</v>
      </c>
      <c r="AA165" s="1">
        <v>9</v>
      </c>
      <c r="AB165" s="1">
        <v>21.5</v>
      </c>
      <c r="AC165" s="1">
        <v>0</v>
      </c>
      <c r="AD165" s="1">
        <v>56.551400000000001</v>
      </c>
      <c r="AE165" s="1">
        <v>460.49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7.5248249999999999</v>
      </c>
      <c r="AP165" s="1">
        <v>1.0534755</v>
      </c>
      <c r="AQ165" s="1">
        <v>377.18421000000001</v>
      </c>
      <c r="AR165" s="1">
        <v>377.18421000000001</v>
      </c>
      <c r="AS165" s="1">
        <v>94.296049999999994</v>
      </c>
      <c r="AT165" s="1">
        <v>13.201447</v>
      </c>
      <c r="AU165" s="1">
        <v>32.99</v>
      </c>
      <c r="AV165" s="2" t="s">
        <v>60</v>
      </c>
      <c r="AW165" s="1">
        <v>280.92399999999998</v>
      </c>
      <c r="AX165" s="1">
        <f>Table1[[#This Row],[Original Commissionable GMV]]-Table1[[#This Row],[Commission ]]-Table1[[#This Row],[Commission VAT]]-Table1[[#This Row],[FreeDeliveryFund]]</f>
        <v>236.69671300000005</v>
      </c>
      <c r="AY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M165" s="2"/>
    </row>
    <row r="166" spans="12:65" x14ac:dyDescent="0.25">
      <c r="L166" s="2">
        <v>504016</v>
      </c>
      <c r="M166" s="2" t="s">
        <v>52</v>
      </c>
      <c r="N166" s="2">
        <v>505837</v>
      </c>
      <c r="O166" t="s">
        <v>53</v>
      </c>
      <c r="P166">
        <v>3384609338</v>
      </c>
      <c r="Q166" s="5">
        <v>46028.659571759257</v>
      </c>
      <c r="R166" s="2" t="s">
        <v>54</v>
      </c>
      <c r="S166" s="2" t="s">
        <v>51</v>
      </c>
      <c r="T166" s="2" t="s">
        <v>55</v>
      </c>
      <c r="U166" s="2" t="s">
        <v>59</v>
      </c>
      <c r="V166" s="2" t="s">
        <v>57</v>
      </c>
      <c r="W166" s="2" t="s">
        <v>58</v>
      </c>
      <c r="X166" s="2" t="s">
        <v>59</v>
      </c>
      <c r="Y166" s="1">
        <v>624.97</v>
      </c>
      <c r="Z166" s="1">
        <v>624.97</v>
      </c>
      <c r="AA166" s="1">
        <v>0</v>
      </c>
      <c r="AB166" s="1">
        <v>29.99</v>
      </c>
      <c r="AC166" s="1">
        <v>0</v>
      </c>
      <c r="AD166" s="1">
        <v>80.433679999999995</v>
      </c>
      <c r="AE166" s="1">
        <v>654.96</v>
      </c>
      <c r="AG166" s="1">
        <v>0</v>
      </c>
      <c r="AH166" s="1">
        <v>0</v>
      </c>
      <c r="AI166" s="1">
        <v>298.68</v>
      </c>
      <c r="AJ166" s="1">
        <v>0</v>
      </c>
      <c r="AK166" s="1">
        <v>298.68</v>
      </c>
      <c r="AL166" s="1">
        <v>0</v>
      </c>
      <c r="AM166" s="1">
        <v>0</v>
      </c>
      <c r="AN166" s="1">
        <v>0</v>
      </c>
      <c r="AO166" s="1">
        <v>10.936975</v>
      </c>
      <c r="AP166" s="1">
        <v>1.5311764999999999</v>
      </c>
      <c r="AQ166" s="1">
        <v>548.21929999999998</v>
      </c>
      <c r="AR166" s="1">
        <v>548.21929999999998</v>
      </c>
      <c r="AS166" s="1">
        <v>137.05483000000001</v>
      </c>
      <c r="AT166" s="1">
        <v>19.187676199999999</v>
      </c>
      <c r="AU166" s="1">
        <v>35.99</v>
      </c>
      <c r="AV166" s="2" t="s">
        <v>60</v>
      </c>
      <c r="AW166" s="1">
        <v>420.26900000000001</v>
      </c>
      <c r="AX166" s="1">
        <f>Table1[[#This Row],[Original Commissionable GMV]]-Table1[[#This Row],[Commission ]]-Table1[[#This Row],[Commission VAT]]-Table1[[#This Row],[FreeDeliveryFund]]</f>
        <v>355.98679379999993</v>
      </c>
      <c r="AY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M166" s="2"/>
    </row>
    <row r="167" spans="12:65" x14ac:dyDescent="0.25">
      <c r="L167" s="2">
        <v>504016</v>
      </c>
      <c r="M167" s="2" t="s">
        <v>52</v>
      </c>
      <c r="N167" s="2">
        <v>505835</v>
      </c>
      <c r="O167" t="s">
        <v>63</v>
      </c>
      <c r="P167">
        <v>3384664688</v>
      </c>
      <c r="Q167" s="5">
        <v>46028.680196759262</v>
      </c>
      <c r="R167" s="2" t="s">
        <v>54</v>
      </c>
      <c r="S167" s="2" t="s">
        <v>51</v>
      </c>
      <c r="T167" s="2" t="s">
        <v>55</v>
      </c>
      <c r="U167" s="2" t="s">
        <v>56</v>
      </c>
      <c r="V167" s="2" t="s">
        <v>57</v>
      </c>
      <c r="W167" s="2" t="s">
        <v>58</v>
      </c>
      <c r="X167" s="2" t="s">
        <v>59</v>
      </c>
      <c r="Y167" s="1">
        <v>117.86</v>
      </c>
      <c r="Z167" s="1">
        <v>117.86</v>
      </c>
      <c r="AA167" s="1">
        <v>35.99</v>
      </c>
      <c r="AB167" s="1">
        <v>5.89</v>
      </c>
      <c r="AC167" s="1">
        <v>0</v>
      </c>
      <c r="AD167" s="1">
        <v>19.617190000000001</v>
      </c>
      <c r="AE167" s="1">
        <v>159.74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2.0625499999999999</v>
      </c>
      <c r="AP167" s="1">
        <v>0.28875699999999999</v>
      </c>
      <c r="AQ167" s="1">
        <v>103.38596</v>
      </c>
      <c r="AR167" s="1">
        <v>103.38596</v>
      </c>
      <c r="AS167" s="1">
        <v>25.846489999999999</v>
      </c>
      <c r="AT167" s="1">
        <v>3.6185086000000002</v>
      </c>
      <c r="AU167" s="1">
        <v>0</v>
      </c>
      <c r="AV167" s="2" t="s">
        <v>69</v>
      </c>
      <c r="AW167" s="1">
        <v>86.043999999999997</v>
      </c>
      <c r="AX167" s="1">
        <f>Table1[[#This Row],[Original Commissionable GMV]]-Table1[[#This Row],[Commission ]]-Table1[[#This Row],[Commission VAT]]-Table1[[#This Row],[FreeDeliveryFund]]</f>
        <v>73.920961399999996</v>
      </c>
      <c r="AY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M167" s="2"/>
    </row>
    <row r="168" spans="12:65" x14ac:dyDescent="0.25">
      <c r="L168" s="2">
        <v>504016</v>
      </c>
      <c r="M168" s="2" t="s">
        <v>52</v>
      </c>
      <c r="N168" s="2">
        <v>505837</v>
      </c>
      <c r="O168" t="s">
        <v>63</v>
      </c>
      <c r="P168">
        <v>3384672726</v>
      </c>
      <c r="Q168" s="5">
        <v>46028.682997685188</v>
      </c>
      <c r="R168" s="2" t="s">
        <v>54</v>
      </c>
      <c r="S168" s="2" t="s">
        <v>51</v>
      </c>
      <c r="T168" s="2" t="s">
        <v>55</v>
      </c>
      <c r="U168" s="2" t="s">
        <v>59</v>
      </c>
      <c r="V168" s="2" t="s">
        <v>57</v>
      </c>
      <c r="W168" s="2" t="s">
        <v>58</v>
      </c>
      <c r="X168" s="2" t="s">
        <v>59</v>
      </c>
      <c r="Y168" s="1">
        <v>384.01</v>
      </c>
      <c r="Z168" s="1">
        <v>384.01</v>
      </c>
      <c r="AA168" s="1">
        <v>26.99</v>
      </c>
      <c r="AB168" s="1">
        <v>19.2</v>
      </c>
      <c r="AC168" s="1">
        <v>0</v>
      </c>
      <c r="AD168" s="1">
        <v>52.831580000000002</v>
      </c>
      <c r="AE168" s="1">
        <v>430.2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6.7201750000000002</v>
      </c>
      <c r="AP168" s="1">
        <v>0.94082449999999995</v>
      </c>
      <c r="AQ168" s="1">
        <v>336.85088000000002</v>
      </c>
      <c r="AR168" s="1">
        <v>336.85088000000002</v>
      </c>
      <c r="AS168" s="1">
        <v>84.212720000000004</v>
      </c>
      <c r="AT168" s="1">
        <v>11.789780800000001</v>
      </c>
      <c r="AU168" s="1">
        <v>0</v>
      </c>
      <c r="AV168" s="2" t="s">
        <v>69</v>
      </c>
      <c r="AW168" s="1">
        <v>280.346</v>
      </c>
      <c r="AX168" s="1">
        <f>Table1[[#This Row],[Original Commissionable GMV]]-Table1[[#This Row],[Commission ]]-Table1[[#This Row],[Commission VAT]]-Table1[[#This Row],[FreeDeliveryFund]]</f>
        <v>240.84837920000004</v>
      </c>
      <c r="AY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M168" s="2"/>
    </row>
    <row r="169" spans="12:65" x14ac:dyDescent="0.25">
      <c r="L169" s="2">
        <v>504016</v>
      </c>
      <c r="M169" s="2" t="s">
        <v>52</v>
      </c>
      <c r="N169" s="2">
        <v>505837</v>
      </c>
      <c r="O169" t="s">
        <v>63</v>
      </c>
      <c r="P169">
        <v>3384794529</v>
      </c>
      <c r="Q169" s="5">
        <v>46028.722951388889</v>
      </c>
      <c r="R169" s="2" t="s">
        <v>54</v>
      </c>
      <c r="S169" s="2" t="s">
        <v>51</v>
      </c>
      <c r="T169" s="2" t="s">
        <v>55</v>
      </c>
      <c r="U169" s="2" t="s">
        <v>56</v>
      </c>
      <c r="V169" s="2" t="s">
        <v>57</v>
      </c>
      <c r="W169" s="2" t="s">
        <v>58</v>
      </c>
      <c r="X169" s="2" t="s">
        <v>59</v>
      </c>
      <c r="Y169" s="1">
        <v>710</v>
      </c>
      <c r="Z169" s="1">
        <v>710</v>
      </c>
      <c r="AA169" s="1">
        <v>0</v>
      </c>
      <c r="AB169" s="1">
        <v>29.99</v>
      </c>
      <c r="AC169" s="1">
        <v>0</v>
      </c>
      <c r="AD169" s="1">
        <v>90.875960000000006</v>
      </c>
      <c r="AE169" s="1">
        <v>739.99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12.425000000000001</v>
      </c>
      <c r="AP169" s="1">
        <v>1.7395</v>
      </c>
      <c r="AQ169" s="1">
        <v>622.80701999999997</v>
      </c>
      <c r="AR169" s="1">
        <v>622.80701999999997</v>
      </c>
      <c r="AS169" s="1">
        <v>155.70176000000001</v>
      </c>
      <c r="AT169" s="1">
        <v>21.7982464</v>
      </c>
      <c r="AU169" s="1">
        <v>29.99</v>
      </c>
      <c r="AV169" s="2" t="s">
        <v>60</v>
      </c>
      <c r="AW169" s="1">
        <v>488.34500000000003</v>
      </c>
      <c r="AX169" s="1">
        <f>Table1[[#This Row],[Original Commissionable GMV]]-Table1[[#This Row],[Commission ]]-Table1[[#This Row],[Commission VAT]]-Table1[[#This Row],[FreeDeliveryFund]]</f>
        <v>415.31701359999994</v>
      </c>
      <c r="AY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M169" s="2"/>
    </row>
    <row r="170" spans="12:65" x14ac:dyDescent="0.25">
      <c r="L170" s="2">
        <v>504016</v>
      </c>
      <c r="M170" s="2" t="s">
        <v>52</v>
      </c>
      <c r="N170" s="2">
        <v>505837</v>
      </c>
      <c r="O170" t="s">
        <v>63</v>
      </c>
      <c r="P170">
        <v>3384808542</v>
      </c>
      <c r="Q170" s="5">
        <v>46028.727384259262</v>
      </c>
      <c r="R170" s="2" t="s">
        <v>54</v>
      </c>
      <c r="S170" s="2" t="s">
        <v>51</v>
      </c>
      <c r="T170" s="2" t="s">
        <v>55</v>
      </c>
      <c r="U170" s="2" t="s">
        <v>56</v>
      </c>
      <c r="V170" s="2" t="s">
        <v>57</v>
      </c>
      <c r="W170" s="2" t="s">
        <v>58</v>
      </c>
      <c r="X170" s="2" t="s">
        <v>59</v>
      </c>
      <c r="Y170" s="1">
        <v>273.99</v>
      </c>
      <c r="Z170" s="1">
        <v>273.99</v>
      </c>
      <c r="AA170" s="1">
        <v>26.99</v>
      </c>
      <c r="AB170" s="1">
        <v>13.7</v>
      </c>
      <c r="AC170" s="1">
        <v>0</v>
      </c>
      <c r="AD170" s="1">
        <v>38.644910000000003</v>
      </c>
      <c r="AE170" s="1">
        <v>314.68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4.7948250000000003</v>
      </c>
      <c r="AP170" s="1">
        <v>0.67127550000000002</v>
      </c>
      <c r="AQ170" s="1">
        <v>240.34210999999999</v>
      </c>
      <c r="AR170" s="1">
        <v>240.34210999999999</v>
      </c>
      <c r="AS170" s="1">
        <v>60.085529999999999</v>
      </c>
      <c r="AT170" s="1">
        <v>8.4119741999999995</v>
      </c>
      <c r="AU170" s="1">
        <v>0</v>
      </c>
      <c r="AV170" s="2" t="s">
        <v>69</v>
      </c>
      <c r="AW170" s="1">
        <v>200.02600000000001</v>
      </c>
      <c r="AX170" s="1">
        <f>Table1[[#This Row],[Original Commissionable GMV]]-Table1[[#This Row],[Commission ]]-Table1[[#This Row],[Commission VAT]]-Table1[[#This Row],[FreeDeliveryFund]]</f>
        <v>171.84460579999998</v>
      </c>
      <c r="AY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M170" s="2"/>
    </row>
    <row r="171" spans="12:65" x14ac:dyDescent="0.25">
      <c r="L171" s="2">
        <v>504016</v>
      </c>
      <c r="M171" s="2" t="s">
        <v>52</v>
      </c>
      <c r="N171" s="2">
        <v>505837</v>
      </c>
      <c r="O171" t="s">
        <v>63</v>
      </c>
      <c r="P171">
        <v>3384818657</v>
      </c>
      <c r="Q171" s="5">
        <v>46028.730543981481</v>
      </c>
      <c r="R171" s="2" t="s">
        <v>54</v>
      </c>
      <c r="S171" s="2" t="s">
        <v>51</v>
      </c>
      <c r="T171" s="2" t="s">
        <v>55</v>
      </c>
      <c r="U171" s="2" t="s">
        <v>56</v>
      </c>
      <c r="V171" s="2" t="s">
        <v>57</v>
      </c>
      <c r="W171" s="2" t="s">
        <v>58</v>
      </c>
      <c r="X171" s="2" t="s">
        <v>59</v>
      </c>
      <c r="Y171" s="1">
        <v>542.98</v>
      </c>
      <c r="Z171" s="1">
        <v>542.98</v>
      </c>
      <c r="AA171" s="1">
        <v>7</v>
      </c>
      <c r="AB171" s="1">
        <v>27.15</v>
      </c>
      <c r="AC171" s="1">
        <v>0</v>
      </c>
      <c r="AD171" s="1">
        <v>70.875609999999995</v>
      </c>
      <c r="AE171" s="1">
        <v>577.13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9.5021500000000003</v>
      </c>
      <c r="AP171" s="1">
        <v>1.330301</v>
      </c>
      <c r="AQ171" s="1">
        <v>476.29825</v>
      </c>
      <c r="AR171" s="1">
        <v>476.29825</v>
      </c>
      <c r="AS171" s="1">
        <v>119.07456000000001</v>
      </c>
      <c r="AT171" s="1">
        <v>16.670438399999998</v>
      </c>
      <c r="AU171" s="1">
        <v>29.99</v>
      </c>
      <c r="AV171" s="2" t="s">
        <v>60</v>
      </c>
      <c r="AW171" s="1">
        <v>366.41300000000001</v>
      </c>
      <c r="AX171" s="1">
        <f>Table1[[#This Row],[Original Commissionable GMV]]-Table1[[#This Row],[Commission ]]-Table1[[#This Row],[Commission VAT]]-Table1[[#This Row],[FreeDeliveryFund]]</f>
        <v>310.56325159999994</v>
      </c>
      <c r="AY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M171" s="2"/>
    </row>
    <row r="172" spans="12:65" x14ac:dyDescent="0.25">
      <c r="L172" s="2">
        <v>504016</v>
      </c>
      <c r="M172" s="2" t="s">
        <v>52</v>
      </c>
      <c r="N172" s="2">
        <v>505837</v>
      </c>
      <c r="O172" t="s">
        <v>53</v>
      </c>
      <c r="P172">
        <v>3384834007</v>
      </c>
      <c r="Q172" s="5">
        <v>46028.735266203701</v>
      </c>
      <c r="R172" s="2" t="s">
        <v>54</v>
      </c>
      <c r="S172" s="2" t="s">
        <v>51</v>
      </c>
      <c r="T172" s="2" t="s">
        <v>55</v>
      </c>
      <c r="U172" s="2" t="s">
        <v>59</v>
      </c>
      <c r="V172" s="2" t="s">
        <v>57</v>
      </c>
      <c r="W172" s="2" t="s">
        <v>58</v>
      </c>
      <c r="X172" s="2" t="s">
        <v>59</v>
      </c>
      <c r="Y172" s="1">
        <v>423.48</v>
      </c>
      <c r="Z172" s="1">
        <v>454.98</v>
      </c>
      <c r="AA172" s="1">
        <v>9</v>
      </c>
      <c r="AB172" s="1">
        <v>22.75</v>
      </c>
      <c r="AC172" s="1">
        <v>0</v>
      </c>
      <c r="AD172" s="1">
        <v>59.773859999999999</v>
      </c>
      <c r="AE172" s="1">
        <v>455.23</v>
      </c>
      <c r="AG172" s="1">
        <v>0</v>
      </c>
      <c r="AH172" s="1">
        <v>31.5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7.4108999999999998</v>
      </c>
      <c r="AP172" s="1">
        <v>1.0375259999999999</v>
      </c>
      <c r="AQ172" s="1">
        <v>371.47368</v>
      </c>
      <c r="AR172" s="1">
        <v>371.47368</v>
      </c>
      <c r="AS172" s="1">
        <v>92.86842</v>
      </c>
      <c r="AT172" s="1">
        <v>13.001578800000001</v>
      </c>
      <c r="AU172" s="1">
        <v>30.99</v>
      </c>
      <c r="AV172" s="2" t="s">
        <v>60</v>
      </c>
      <c r="AW172" s="1">
        <v>278.17200000000003</v>
      </c>
      <c r="AX172" s="1">
        <f>Table1[[#This Row],[Original Commissionable GMV]]-Table1[[#This Row],[Commission ]]-Table1[[#This Row],[Commission VAT]]-Table1[[#This Row],[FreeDeliveryFund]]</f>
        <v>234.61368119999997</v>
      </c>
      <c r="AY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M172" s="2"/>
    </row>
    <row r="173" spans="12:65" x14ac:dyDescent="0.25">
      <c r="L173" s="2">
        <v>504016</v>
      </c>
      <c r="M173" s="2" t="s">
        <v>52</v>
      </c>
      <c r="N173" s="2">
        <v>505839</v>
      </c>
      <c r="O173" t="s">
        <v>63</v>
      </c>
      <c r="P173">
        <v>3384915894</v>
      </c>
      <c r="Q173" s="5">
        <v>46028.759791666664</v>
      </c>
      <c r="R173" s="2" t="s">
        <v>62</v>
      </c>
      <c r="S173" s="2" t="s">
        <v>51</v>
      </c>
      <c r="T173" s="2" t="s">
        <v>55</v>
      </c>
      <c r="U173" s="2" t="s">
        <v>56</v>
      </c>
      <c r="V173" s="2" t="s">
        <v>57</v>
      </c>
      <c r="W173" s="2" t="s">
        <v>58</v>
      </c>
      <c r="X173" s="2" t="s">
        <v>59</v>
      </c>
      <c r="Y173" s="1">
        <v>282.66000000000003</v>
      </c>
      <c r="Z173" s="1">
        <v>318.66000000000003</v>
      </c>
      <c r="AA173" s="1">
        <v>0</v>
      </c>
      <c r="AB173" s="1">
        <v>15.93</v>
      </c>
      <c r="AC173" s="1">
        <v>0</v>
      </c>
      <c r="AD173" s="1">
        <v>41.09</v>
      </c>
      <c r="AE173" s="1">
        <v>298.58999999999997</v>
      </c>
      <c r="AG173" s="1">
        <v>0</v>
      </c>
      <c r="AH173" s="1">
        <v>36</v>
      </c>
      <c r="AI173" s="1">
        <v>0</v>
      </c>
      <c r="AJ173" s="1">
        <v>0</v>
      </c>
      <c r="AK173" s="1">
        <v>0</v>
      </c>
      <c r="AL173" s="1">
        <v>0</v>
      </c>
      <c r="AM173" s="1">
        <v>30</v>
      </c>
      <c r="AN173" s="1">
        <v>4.2</v>
      </c>
      <c r="AO173" s="1">
        <v>0</v>
      </c>
      <c r="AP173" s="1">
        <v>0</v>
      </c>
      <c r="AQ173" s="1">
        <v>247.94737000000001</v>
      </c>
      <c r="AR173" s="1">
        <v>247.94737000000001</v>
      </c>
      <c r="AS173" s="1">
        <v>61.986840000000001</v>
      </c>
      <c r="AT173" s="1">
        <v>8.6781576000000005</v>
      </c>
      <c r="AU173" s="1">
        <v>26.99</v>
      </c>
      <c r="AV173" s="2" t="s">
        <v>60</v>
      </c>
      <c r="AW173" s="1">
        <v>150.80500000000001</v>
      </c>
      <c r="AX173" s="1">
        <f>Table1[[#This Row],[Original Commissionable GMV]]-Table1[[#This Row],[Commission ]]-Table1[[#This Row],[Commission VAT]]-Table1[[#This Row],[FreeDeliveryFund]]</f>
        <v>150.2923724</v>
      </c>
      <c r="AY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M173" s="2"/>
    </row>
    <row r="174" spans="12:65" x14ac:dyDescent="0.25">
      <c r="L174" s="2">
        <v>504016</v>
      </c>
      <c r="M174" s="2" t="s">
        <v>52</v>
      </c>
      <c r="N174" s="2">
        <v>505839</v>
      </c>
      <c r="O174" t="s">
        <v>53</v>
      </c>
      <c r="P174">
        <v>3384963719</v>
      </c>
      <c r="Q174" s="5">
        <v>46028.773912037039</v>
      </c>
      <c r="R174" s="2" t="s">
        <v>54</v>
      </c>
      <c r="S174" s="2" t="s">
        <v>51</v>
      </c>
      <c r="T174" s="2" t="s">
        <v>55</v>
      </c>
      <c r="U174" s="2" t="s">
        <v>59</v>
      </c>
      <c r="V174" s="2" t="s">
        <v>57</v>
      </c>
      <c r="W174" s="2" t="s">
        <v>58</v>
      </c>
      <c r="X174" s="2" t="s">
        <v>59</v>
      </c>
      <c r="Y174" s="1">
        <v>533.98</v>
      </c>
      <c r="Z174" s="1">
        <v>533.98</v>
      </c>
      <c r="AA174" s="1">
        <v>0</v>
      </c>
      <c r="AB174" s="1">
        <v>26.7</v>
      </c>
      <c r="AC174" s="1">
        <v>0</v>
      </c>
      <c r="AD174" s="1">
        <v>68.855440000000002</v>
      </c>
      <c r="AE174" s="1">
        <v>560.67999999999995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9.3446499999999997</v>
      </c>
      <c r="AP174" s="1">
        <v>1.3082510000000001</v>
      </c>
      <c r="AQ174" s="1">
        <v>468.40350999999998</v>
      </c>
      <c r="AR174" s="1">
        <v>468.40350999999998</v>
      </c>
      <c r="AS174" s="1">
        <v>117.10088</v>
      </c>
      <c r="AT174" s="1">
        <v>16.394123199999999</v>
      </c>
      <c r="AU174" s="1">
        <v>32.99</v>
      </c>
      <c r="AV174" s="2" t="s">
        <v>60</v>
      </c>
      <c r="AW174" s="1">
        <v>356.84199999999998</v>
      </c>
      <c r="AX174" s="1">
        <f>Table1[[#This Row],[Original Commissionable GMV]]-Table1[[#This Row],[Commission ]]-Table1[[#This Row],[Commission VAT]]-Table1[[#This Row],[FreeDeliveryFund]]</f>
        <v>301.91850679999993</v>
      </c>
      <c r="AY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M174" s="2"/>
    </row>
    <row r="175" spans="12:65" x14ac:dyDescent="0.25">
      <c r="L175" s="2">
        <v>504016</v>
      </c>
      <c r="M175" s="2" t="s">
        <v>52</v>
      </c>
      <c r="N175" s="2">
        <v>505839</v>
      </c>
      <c r="O175" t="s">
        <v>53</v>
      </c>
      <c r="P175">
        <v>3385038311</v>
      </c>
      <c r="Q175" s="5">
        <v>46028.795925925922</v>
      </c>
      <c r="R175" s="2" t="s">
        <v>62</v>
      </c>
      <c r="S175" s="2" t="s">
        <v>51</v>
      </c>
      <c r="T175" s="2" t="s">
        <v>55</v>
      </c>
      <c r="U175" s="2" t="s">
        <v>59</v>
      </c>
      <c r="V175" s="2" t="s">
        <v>57</v>
      </c>
      <c r="W175" s="2" t="s">
        <v>58</v>
      </c>
      <c r="X175" s="2" t="s">
        <v>59</v>
      </c>
      <c r="Y175" s="1">
        <v>334.98</v>
      </c>
      <c r="Z175" s="1">
        <v>382.83</v>
      </c>
      <c r="AA175" s="1">
        <v>0</v>
      </c>
      <c r="AB175" s="1">
        <v>19.14</v>
      </c>
      <c r="AC175" s="1">
        <v>0</v>
      </c>
      <c r="AD175" s="1">
        <v>49.364739999999998</v>
      </c>
      <c r="AE175" s="1">
        <v>354.12</v>
      </c>
      <c r="AG175" s="1">
        <v>0</v>
      </c>
      <c r="AH175" s="1">
        <v>47.85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293.84210999999999</v>
      </c>
      <c r="AR175" s="1">
        <v>293.84210999999999</v>
      </c>
      <c r="AS175" s="1">
        <v>73.460530000000006</v>
      </c>
      <c r="AT175" s="1">
        <v>10.2844742</v>
      </c>
      <c r="AU175" s="1">
        <v>30.99</v>
      </c>
      <c r="AV175" s="2" t="s">
        <v>60</v>
      </c>
      <c r="AW175" s="1">
        <v>220.245</v>
      </c>
      <c r="AX175" s="1">
        <f>Table1[[#This Row],[Original Commissionable GMV]]-Table1[[#This Row],[Commission ]]-Table1[[#This Row],[Commission VAT]]-Table1[[#This Row],[FreeDeliveryFund]]</f>
        <v>179.10710579999997</v>
      </c>
      <c r="AY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M175" s="2"/>
    </row>
    <row r="176" spans="12:65" x14ac:dyDescent="0.25">
      <c r="L176" s="2">
        <v>504016</v>
      </c>
      <c r="M176" s="2" t="s">
        <v>52</v>
      </c>
      <c r="N176" s="2">
        <v>505837</v>
      </c>
      <c r="O176" t="s">
        <v>53</v>
      </c>
      <c r="P176">
        <v>3385144500</v>
      </c>
      <c r="Q176" s="5">
        <v>46028.828101851854</v>
      </c>
      <c r="R176" s="2" t="s">
        <v>62</v>
      </c>
      <c r="S176" s="2" t="s">
        <v>51</v>
      </c>
      <c r="T176" s="2" t="s">
        <v>55</v>
      </c>
      <c r="U176" s="2" t="s">
        <v>56</v>
      </c>
      <c r="V176" s="2" t="s">
        <v>57</v>
      </c>
      <c r="W176" s="2" t="s">
        <v>58</v>
      </c>
      <c r="X176" s="2" t="s">
        <v>59</v>
      </c>
      <c r="Y176" s="1">
        <v>858.97</v>
      </c>
      <c r="Z176" s="1">
        <v>858.97</v>
      </c>
      <c r="AA176" s="1">
        <v>42.99</v>
      </c>
      <c r="AB176" s="1">
        <v>29.99</v>
      </c>
      <c r="AC176" s="1">
        <v>0</v>
      </c>
      <c r="AD176" s="1">
        <v>114.45</v>
      </c>
      <c r="AE176" s="1">
        <v>931.95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753.48245999999995</v>
      </c>
      <c r="AR176" s="1">
        <v>753.48245999999995</v>
      </c>
      <c r="AS176" s="1">
        <v>188.37062</v>
      </c>
      <c r="AT176" s="1">
        <v>26.371886799999999</v>
      </c>
      <c r="AU176" s="1">
        <v>0</v>
      </c>
      <c r="AV176" s="2" t="s">
        <v>69</v>
      </c>
      <c r="AW176" s="1">
        <v>644.22699999999998</v>
      </c>
      <c r="AX176" s="1">
        <f>Table1[[#This Row],[Original Commissionable GMV]]-Table1[[#This Row],[Commission ]]-Table1[[#This Row],[Commission VAT]]-Table1[[#This Row],[FreeDeliveryFund]]</f>
        <v>538.73995319999995</v>
      </c>
      <c r="AY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M176" s="2"/>
    </row>
    <row r="177" spans="12:65" x14ac:dyDescent="0.25">
      <c r="L177" s="2">
        <v>504016</v>
      </c>
      <c r="M177" s="2" t="s">
        <v>52</v>
      </c>
      <c r="N177" s="2">
        <v>505839</v>
      </c>
      <c r="O177" t="s">
        <v>63</v>
      </c>
      <c r="P177">
        <v>3385187437</v>
      </c>
      <c r="Q177" s="5">
        <v>46028.841828703706</v>
      </c>
      <c r="R177" s="2" t="s">
        <v>54</v>
      </c>
      <c r="S177" s="2" t="s">
        <v>51</v>
      </c>
      <c r="T177" s="2" t="s">
        <v>55</v>
      </c>
      <c r="U177" s="2" t="s">
        <v>56</v>
      </c>
      <c r="V177" s="2" t="s">
        <v>57</v>
      </c>
      <c r="W177" s="2" t="s">
        <v>58</v>
      </c>
      <c r="X177" s="2" t="s">
        <v>59</v>
      </c>
      <c r="Y177" s="1">
        <v>909.97</v>
      </c>
      <c r="Z177" s="1">
        <v>957.97</v>
      </c>
      <c r="AA177" s="1">
        <v>0</v>
      </c>
      <c r="AB177" s="1">
        <v>29.99</v>
      </c>
      <c r="AC177" s="1">
        <v>0</v>
      </c>
      <c r="AD177" s="1">
        <v>121.32841999999999</v>
      </c>
      <c r="AE177" s="1">
        <v>939.96</v>
      </c>
      <c r="AG177" s="1">
        <v>0</v>
      </c>
      <c r="AH177" s="1">
        <v>48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15.924474999999999</v>
      </c>
      <c r="AP177" s="1">
        <v>2.2294265000000002</v>
      </c>
      <c r="AQ177" s="1">
        <v>798.21929999999998</v>
      </c>
      <c r="AR177" s="1">
        <v>798.21929999999998</v>
      </c>
      <c r="AS177" s="1">
        <v>199.55483000000001</v>
      </c>
      <c r="AT177" s="1">
        <v>27.937676199999999</v>
      </c>
      <c r="AU177" s="1">
        <v>29.99</v>
      </c>
      <c r="AV177" s="2" t="s">
        <v>60</v>
      </c>
      <c r="AW177" s="1">
        <v>634.33399999999995</v>
      </c>
      <c r="AX177" s="1">
        <f>Table1[[#This Row],[Original Commissionable GMV]]-Table1[[#This Row],[Commission ]]-Table1[[#This Row],[Commission VAT]]-Table1[[#This Row],[FreeDeliveryFund]]</f>
        <v>540.73679379999999</v>
      </c>
      <c r="AY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M177" s="2"/>
    </row>
    <row r="178" spans="12:65" x14ac:dyDescent="0.25">
      <c r="L178" s="2">
        <v>504016</v>
      </c>
      <c r="M178" s="2" t="s">
        <v>52</v>
      </c>
      <c r="N178" s="2">
        <v>505839</v>
      </c>
      <c r="O178" t="s">
        <v>53</v>
      </c>
      <c r="P178">
        <v>3385299630</v>
      </c>
      <c r="Q178" s="5">
        <v>46028.88071759259</v>
      </c>
      <c r="R178" s="2" t="s">
        <v>54</v>
      </c>
      <c r="S178" s="2" t="s">
        <v>51</v>
      </c>
      <c r="T178" s="2" t="s">
        <v>55</v>
      </c>
      <c r="U178" s="2" t="s">
        <v>59</v>
      </c>
      <c r="V178" s="2" t="s">
        <v>57</v>
      </c>
      <c r="W178" s="2" t="s">
        <v>58</v>
      </c>
      <c r="X178" s="2" t="s">
        <v>59</v>
      </c>
      <c r="Y178" s="1">
        <v>883.97</v>
      </c>
      <c r="Z178" s="1">
        <v>883.97</v>
      </c>
      <c r="AA178" s="1">
        <v>40.99</v>
      </c>
      <c r="AB178" s="1">
        <v>29.99</v>
      </c>
      <c r="AC178" s="1">
        <v>0</v>
      </c>
      <c r="AD178" s="1">
        <v>117.27455999999999</v>
      </c>
      <c r="AE178" s="1">
        <v>954.95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15.469474999999999</v>
      </c>
      <c r="AP178" s="1">
        <v>2.1657264999999999</v>
      </c>
      <c r="AQ178" s="1">
        <v>775.41228000000001</v>
      </c>
      <c r="AR178" s="1">
        <v>775.41228000000001</v>
      </c>
      <c r="AS178" s="1">
        <v>193.85307</v>
      </c>
      <c r="AT178" s="1">
        <v>27.139429799999998</v>
      </c>
      <c r="AU178" s="1">
        <v>0</v>
      </c>
      <c r="AV178" s="2" t="s">
        <v>69</v>
      </c>
      <c r="AW178" s="1">
        <v>645.34199999999998</v>
      </c>
      <c r="AX178" s="1">
        <f>Table1[[#This Row],[Original Commissionable GMV]]-Table1[[#This Row],[Commission ]]-Table1[[#This Row],[Commission VAT]]-Table1[[#This Row],[FreeDeliveryFund]]</f>
        <v>554.41978019999999</v>
      </c>
      <c r="AY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M178" s="2"/>
    </row>
    <row r="179" spans="12:65" x14ac:dyDescent="0.25">
      <c r="L179" s="2">
        <v>504016</v>
      </c>
      <c r="M179" s="2" t="s">
        <v>52</v>
      </c>
      <c r="N179" s="2">
        <v>505839</v>
      </c>
      <c r="O179" t="s">
        <v>53</v>
      </c>
      <c r="P179">
        <v>3385343026</v>
      </c>
      <c r="Q179" s="5">
        <v>46028.897685185184</v>
      </c>
      <c r="R179" s="2" t="s">
        <v>54</v>
      </c>
      <c r="S179" s="2" t="s">
        <v>51</v>
      </c>
      <c r="T179" s="2" t="s">
        <v>55</v>
      </c>
      <c r="U179" s="2" t="s">
        <v>59</v>
      </c>
      <c r="V179" s="2" t="s">
        <v>57</v>
      </c>
      <c r="W179" s="2" t="s">
        <v>58</v>
      </c>
      <c r="X179" s="2" t="s">
        <v>59</v>
      </c>
      <c r="Y179" s="1">
        <v>3828.39</v>
      </c>
      <c r="Z179" s="1">
        <v>3828.39</v>
      </c>
      <c r="AA179" s="1">
        <v>34.99</v>
      </c>
      <c r="AB179" s="1">
        <v>29.99</v>
      </c>
      <c r="AC179" s="1">
        <v>0</v>
      </c>
      <c r="AD179" s="1">
        <v>478.13315999999998</v>
      </c>
      <c r="AE179" s="1">
        <v>3893.37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30</v>
      </c>
      <c r="AN179" s="1">
        <v>4.2</v>
      </c>
      <c r="AO179" s="1">
        <v>66.996826749999997</v>
      </c>
      <c r="AP179" s="1">
        <v>9.3795557449999993</v>
      </c>
      <c r="AQ179" s="1">
        <v>3358.23684</v>
      </c>
      <c r="AR179" s="1">
        <v>3358.23684</v>
      </c>
      <c r="AS179" s="1">
        <v>839.55921000000001</v>
      </c>
      <c r="AT179" s="1">
        <v>117.5382894</v>
      </c>
      <c r="AU179" s="1">
        <v>0</v>
      </c>
      <c r="AV179" s="2" t="s">
        <v>69</v>
      </c>
      <c r="AW179" s="1">
        <v>2760.7159999999999</v>
      </c>
      <c r="AX179" s="1">
        <f>Table1[[#This Row],[Original Commissionable GMV]]-Table1[[#This Row],[Commission ]]-Table1[[#This Row],[Commission VAT]]-Table1[[#This Row],[FreeDeliveryFund]]</f>
        <v>2401.1393406000002</v>
      </c>
      <c r="AY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M179" s="2"/>
    </row>
    <row r="180" spans="12:65" x14ac:dyDescent="0.25">
      <c r="L180" s="2">
        <v>504016</v>
      </c>
      <c r="M180" s="2" t="s">
        <v>52</v>
      </c>
      <c r="N180" s="2">
        <v>505837</v>
      </c>
      <c r="O180" t="s">
        <v>65</v>
      </c>
      <c r="P180">
        <v>3385427759</v>
      </c>
      <c r="Q180" s="5">
        <v>46028.935358796298</v>
      </c>
      <c r="R180" s="2" t="s">
        <v>66</v>
      </c>
      <c r="S180" s="2" t="s">
        <v>51</v>
      </c>
      <c r="T180" s="2" t="s">
        <v>55</v>
      </c>
      <c r="U180" s="2" t="s">
        <v>56</v>
      </c>
      <c r="V180" s="2" t="s">
        <v>57</v>
      </c>
      <c r="W180" s="2" t="s">
        <v>58</v>
      </c>
      <c r="X180" s="2" t="s">
        <v>59</v>
      </c>
      <c r="Y180" s="1">
        <v>355</v>
      </c>
      <c r="Z180" s="1">
        <v>355</v>
      </c>
      <c r="AA180" s="1">
        <v>0</v>
      </c>
      <c r="AB180" s="1">
        <v>17.75</v>
      </c>
      <c r="AC180" s="1">
        <v>0</v>
      </c>
      <c r="AD180" s="1">
        <v>45.776319999999998</v>
      </c>
      <c r="AE180" s="1">
        <v>372.75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6.2125000000000004</v>
      </c>
      <c r="AP180" s="1">
        <v>0.86975000000000002</v>
      </c>
      <c r="AQ180" s="1">
        <v>311.40350999999998</v>
      </c>
      <c r="AR180" s="1">
        <v>311.40350999999998</v>
      </c>
      <c r="AS180" s="1">
        <v>77.850880000000004</v>
      </c>
      <c r="AT180" s="1">
        <v>10.8991232</v>
      </c>
      <c r="AU180" s="1">
        <v>26.99</v>
      </c>
      <c r="AV180" s="2" t="s">
        <v>60</v>
      </c>
      <c r="AW180" s="1">
        <v>232.178</v>
      </c>
      <c r="AX180" s="1">
        <f>Table1[[#This Row],[Original Commissionable GMV]]-Table1[[#This Row],[Commission ]]-Table1[[#This Row],[Commission VAT]]-Table1[[#This Row],[FreeDeliveryFund]]</f>
        <v>195.66350679999996</v>
      </c>
      <c r="AY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M180" s="2"/>
    </row>
    <row r="181" spans="12:65" x14ac:dyDescent="0.25">
      <c r="L181" s="2">
        <v>504016</v>
      </c>
      <c r="M181" s="2" t="s">
        <v>52</v>
      </c>
      <c r="N181" s="2">
        <v>505837</v>
      </c>
      <c r="O181" t="s">
        <v>53</v>
      </c>
      <c r="P181">
        <v>3385491744</v>
      </c>
      <c r="Q181" s="5">
        <v>46028.970694444448</v>
      </c>
      <c r="R181" s="2" t="s">
        <v>54</v>
      </c>
      <c r="S181" s="2" t="s">
        <v>51</v>
      </c>
      <c r="T181" s="2" t="s">
        <v>55</v>
      </c>
      <c r="U181" s="2" t="s">
        <v>59</v>
      </c>
      <c r="V181" s="2" t="s">
        <v>57</v>
      </c>
      <c r="W181" s="2" t="s">
        <v>58</v>
      </c>
      <c r="X181" s="2" t="s">
        <v>59</v>
      </c>
      <c r="Y181" s="1">
        <v>542.48</v>
      </c>
      <c r="Z181" s="1">
        <v>573.98</v>
      </c>
      <c r="AA181" s="1">
        <v>9</v>
      </c>
      <c r="AB181" s="1">
        <v>28.7</v>
      </c>
      <c r="AC181" s="1">
        <v>0</v>
      </c>
      <c r="AD181" s="1">
        <v>75.118600000000001</v>
      </c>
      <c r="AE181" s="1">
        <v>580.17999999999995</v>
      </c>
      <c r="AG181" s="1">
        <v>0</v>
      </c>
      <c r="AH181" s="1">
        <v>31.5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9.4933999999999994</v>
      </c>
      <c r="AP181" s="1">
        <v>1.3290759999999999</v>
      </c>
      <c r="AQ181" s="1">
        <v>475.85964999999999</v>
      </c>
      <c r="AR181" s="1">
        <v>475.85964999999999</v>
      </c>
      <c r="AS181" s="1">
        <v>118.96491</v>
      </c>
      <c r="AT181" s="1">
        <v>16.655087399999999</v>
      </c>
      <c r="AU181" s="1">
        <v>30.99</v>
      </c>
      <c r="AV181" s="2" t="s">
        <v>60</v>
      </c>
      <c r="AW181" s="1">
        <v>365.048</v>
      </c>
      <c r="AX181" s="1">
        <f>Table1[[#This Row],[Original Commissionable GMV]]-Table1[[#This Row],[Commission ]]-Table1[[#This Row],[Commission VAT]]-Table1[[#This Row],[FreeDeliveryFund]]</f>
        <v>309.24965259999993</v>
      </c>
      <c r="AY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M181" s="2"/>
    </row>
    <row r="182" spans="12:65" x14ac:dyDescent="0.25">
      <c r="L182" s="2">
        <v>504016</v>
      </c>
      <c r="M182" s="2" t="s">
        <v>52</v>
      </c>
      <c r="N182" s="2">
        <v>505835</v>
      </c>
      <c r="O182" t="s">
        <v>63</v>
      </c>
      <c r="P182">
        <v>3385998410</v>
      </c>
      <c r="Q182" s="5">
        <v>46029.497858796298</v>
      </c>
      <c r="R182" s="2" t="s">
        <v>54</v>
      </c>
      <c r="S182" s="2" t="s">
        <v>51</v>
      </c>
      <c r="T182" s="2" t="s">
        <v>55</v>
      </c>
      <c r="U182" s="2" t="s">
        <v>59</v>
      </c>
      <c r="V182" s="2" t="s">
        <v>57</v>
      </c>
      <c r="W182" s="2" t="s">
        <v>58</v>
      </c>
      <c r="X182" s="2" t="s">
        <v>59</v>
      </c>
      <c r="Y182" s="1">
        <v>453.99</v>
      </c>
      <c r="Z182" s="1">
        <v>453.99</v>
      </c>
      <c r="AA182" s="1">
        <v>29.99</v>
      </c>
      <c r="AB182" s="1">
        <v>22.7</v>
      </c>
      <c r="AC182" s="1">
        <v>0</v>
      </c>
      <c r="AD182" s="1">
        <v>62.223860000000002</v>
      </c>
      <c r="AE182" s="1">
        <v>506.68</v>
      </c>
      <c r="AG182" s="1">
        <v>0</v>
      </c>
      <c r="AH182" s="1">
        <v>0</v>
      </c>
      <c r="AI182" s="1">
        <v>132.24</v>
      </c>
      <c r="AJ182" s="1">
        <v>0</v>
      </c>
      <c r="AK182" s="1">
        <v>132.24</v>
      </c>
      <c r="AL182" s="1">
        <v>0</v>
      </c>
      <c r="AM182" s="1">
        <v>0</v>
      </c>
      <c r="AN182" s="1">
        <v>0</v>
      </c>
      <c r="AO182" s="1">
        <v>7.9448249999999998</v>
      </c>
      <c r="AP182" s="1">
        <v>1.1122755</v>
      </c>
      <c r="AQ182" s="1">
        <v>398.23683999999997</v>
      </c>
      <c r="AR182" s="1">
        <v>398.23683999999997</v>
      </c>
      <c r="AS182" s="1">
        <v>99.559209999999993</v>
      </c>
      <c r="AT182" s="1">
        <v>13.9382894</v>
      </c>
      <c r="AU182" s="1">
        <v>0</v>
      </c>
      <c r="AV182" s="2" t="s">
        <v>69</v>
      </c>
      <c r="AW182" s="1">
        <v>331.435</v>
      </c>
      <c r="AX182" s="1">
        <f>Table1[[#This Row],[Original Commissionable GMV]]-Table1[[#This Row],[Commission ]]-Table1[[#This Row],[Commission VAT]]-Table1[[#This Row],[FreeDeliveryFund]]</f>
        <v>284.73934059999999</v>
      </c>
      <c r="AY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M182" s="2"/>
    </row>
    <row r="183" spans="12:65" x14ac:dyDescent="0.25">
      <c r="L183" s="2">
        <v>504016</v>
      </c>
      <c r="M183" s="2" t="s">
        <v>52</v>
      </c>
      <c r="N183" s="2">
        <v>505839</v>
      </c>
      <c r="O183" t="s">
        <v>63</v>
      </c>
      <c r="P183">
        <v>3386032252</v>
      </c>
      <c r="Q183" s="5">
        <v>46029.513287037036</v>
      </c>
      <c r="R183" s="2" t="s">
        <v>54</v>
      </c>
      <c r="S183" s="2" t="s">
        <v>51</v>
      </c>
      <c r="T183" s="2" t="s">
        <v>55</v>
      </c>
      <c r="U183" s="2" t="s">
        <v>56</v>
      </c>
      <c r="V183" s="2" t="s">
        <v>57</v>
      </c>
      <c r="W183" s="2" t="s">
        <v>58</v>
      </c>
      <c r="X183" s="2" t="s">
        <v>59</v>
      </c>
      <c r="Y183" s="1">
        <v>704</v>
      </c>
      <c r="Z183" s="1">
        <v>704</v>
      </c>
      <c r="AA183" s="1">
        <v>28.99</v>
      </c>
      <c r="AB183" s="1">
        <v>29.99</v>
      </c>
      <c r="AC183" s="1">
        <v>0</v>
      </c>
      <c r="AD183" s="1">
        <v>93.699299999999994</v>
      </c>
      <c r="AE183" s="1">
        <v>762.98</v>
      </c>
      <c r="AG183" s="1">
        <v>0</v>
      </c>
      <c r="AH183" s="1">
        <v>0</v>
      </c>
      <c r="AI183" s="1">
        <v>132.24</v>
      </c>
      <c r="AJ183" s="1">
        <v>0</v>
      </c>
      <c r="AK183" s="1">
        <v>132.24</v>
      </c>
      <c r="AL183" s="1">
        <v>0</v>
      </c>
      <c r="AM183" s="1">
        <v>0</v>
      </c>
      <c r="AN183" s="1">
        <v>0</v>
      </c>
      <c r="AO183" s="1">
        <v>12.32</v>
      </c>
      <c r="AP183" s="1">
        <v>1.7248000000000001</v>
      </c>
      <c r="AQ183" s="1">
        <v>617.54386</v>
      </c>
      <c r="AR183" s="1">
        <v>617.54386</v>
      </c>
      <c r="AS183" s="1">
        <v>154.38596999999999</v>
      </c>
      <c r="AT183" s="1">
        <v>21.6140358</v>
      </c>
      <c r="AU183" s="1">
        <v>0</v>
      </c>
      <c r="AV183" s="2" t="s">
        <v>69</v>
      </c>
      <c r="AW183" s="1">
        <v>513.95500000000004</v>
      </c>
      <c r="AX183" s="1">
        <f>Table1[[#This Row],[Original Commissionable GMV]]-Table1[[#This Row],[Commission ]]-Table1[[#This Row],[Commission VAT]]-Table1[[#This Row],[FreeDeliveryFund]]</f>
        <v>441.5438542</v>
      </c>
      <c r="AY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M183" s="2"/>
    </row>
    <row r="184" spans="12:65" x14ac:dyDescent="0.25">
      <c r="L184" s="2">
        <v>504016</v>
      </c>
      <c r="M184" s="2" t="s">
        <v>52</v>
      </c>
      <c r="N184" s="2">
        <v>505839</v>
      </c>
      <c r="O184" t="s">
        <v>53</v>
      </c>
      <c r="P184">
        <v>3386102725</v>
      </c>
      <c r="Q184" s="5">
        <v>46029.544293981482</v>
      </c>
      <c r="R184" s="2" t="s">
        <v>62</v>
      </c>
      <c r="S184" s="2" t="s">
        <v>51</v>
      </c>
      <c r="T184" s="2" t="s">
        <v>55</v>
      </c>
      <c r="U184" s="2" t="s">
        <v>59</v>
      </c>
      <c r="V184" s="2" t="s">
        <v>57</v>
      </c>
      <c r="W184" s="2" t="s">
        <v>58</v>
      </c>
      <c r="X184" s="2" t="s">
        <v>59</v>
      </c>
      <c r="Y184" s="1">
        <v>638</v>
      </c>
      <c r="Z184" s="1">
        <v>638</v>
      </c>
      <c r="AA184" s="1">
        <v>30.99</v>
      </c>
      <c r="AB184" s="1">
        <v>29.99</v>
      </c>
      <c r="AC184" s="1">
        <v>0</v>
      </c>
      <c r="AD184" s="1">
        <v>85.839650000000006</v>
      </c>
      <c r="AE184" s="1">
        <v>698.98</v>
      </c>
      <c r="AG184" s="1">
        <v>0</v>
      </c>
      <c r="AH184" s="1">
        <v>0</v>
      </c>
      <c r="AI184" s="1">
        <v>298.68</v>
      </c>
      <c r="AJ184" s="1">
        <v>0</v>
      </c>
      <c r="AK184" s="1">
        <v>298.68</v>
      </c>
      <c r="AL184" s="1">
        <v>0</v>
      </c>
      <c r="AM184" s="1">
        <v>30</v>
      </c>
      <c r="AN184" s="1">
        <v>4.2</v>
      </c>
      <c r="AO184" s="1">
        <v>0</v>
      </c>
      <c r="AP184" s="1">
        <v>0</v>
      </c>
      <c r="AQ184" s="1">
        <v>559.64912000000004</v>
      </c>
      <c r="AR184" s="1">
        <v>559.64912000000004</v>
      </c>
      <c r="AS184" s="1">
        <v>139.91228000000001</v>
      </c>
      <c r="AT184" s="1">
        <v>19.587719199999999</v>
      </c>
      <c r="AU184" s="1">
        <v>0</v>
      </c>
      <c r="AV184" s="2" t="s">
        <v>69</v>
      </c>
      <c r="AW184" s="1">
        <v>444.3</v>
      </c>
      <c r="AX184" s="1">
        <f>Table1[[#This Row],[Original Commissionable GMV]]-Table1[[#This Row],[Commission ]]-Table1[[#This Row],[Commission VAT]]-Table1[[#This Row],[FreeDeliveryFund]]</f>
        <v>400.14912080000005</v>
      </c>
      <c r="AY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M184" s="2"/>
    </row>
    <row r="185" spans="12:65" x14ac:dyDescent="0.25">
      <c r="L185" s="2">
        <v>504016</v>
      </c>
      <c r="M185" s="2" t="s">
        <v>52</v>
      </c>
      <c r="N185" s="2">
        <v>505839</v>
      </c>
      <c r="O185" t="s">
        <v>63</v>
      </c>
      <c r="P185">
        <v>3386188149</v>
      </c>
      <c r="Q185" s="5">
        <v>46029.580104166664</v>
      </c>
      <c r="R185" s="2" t="s">
        <v>62</v>
      </c>
      <c r="S185" s="2" t="s">
        <v>51</v>
      </c>
      <c r="T185" s="2" t="s">
        <v>55</v>
      </c>
      <c r="U185" s="2" t="s">
        <v>56</v>
      </c>
      <c r="V185" s="2" t="s">
        <v>57</v>
      </c>
      <c r="W185" s="2" t="s">
        <v>58</v>
      </c>
      <c r="X185" s="2" t="s">
        <v>59</v>
      </c>
      <c r="Y185" s="1">
        <v>409.98</v>
      </c>
      <c r="Z185" s="1">
        <v>409.98</v>
      </c>
      <c r="AA185" s="1">
        <v>0</v>
      </c>
      <c r="AB185" s="1">
        <v>20.5</v>
      </c>
      <c r="AC185" s="1">
        <v>0</v>
      </c>
      <c r="AD185" s="1">
        <v>52.865960000000001</v>
      </c>
      <c r="AE185" s="1">
        <v>430.48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70</v>
      </c>
      <c r="AM185" s="1">
        <v>0</v>
      </c>
      <c r="AN185" s="1">
        <v>0</v>
      </c>
      <c r="AO185" s="1">
        <v>0</v>
      </c>
      <c r="AP185" s="1">
        <v>0</v>
      </c>
      <c r="AQ185" s="1">
        <v>359.63157999999999</v>
      </c>
      <c r="AR185" s="1">
        <v>359.63157999999999</v>
      </c>
      <c r="AS185" s="1">
        <v>89.907899999999998</v>
      </c>
      <c r="AT185" s="1">
        <v>12.587106</v>
      </c>
      <c r="AU185" s="1">
        <v>30.99</v>
      </c>
      <c r="AV185" s="2" t="s">
        <v>60</v>
      </c>
      <c r="AW185" s="1">
        <v>276.495</v>
      </c>
      <c r="AX185" s="1">
        <f>Table1[[#This Row],[Original Commissionable GMV]]-Table1[[#This Row],[Commission ]]-Table1[[#This Row],[Commission VAT]]-Table1[[#This Row],[FreeDeliveryFund]]</f>
        <v>226.14657399999999</v>
      </c>
      <c r="AY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M185" s="2"/>
    </row>
    <row r="186" spans="12:65" x14ac:dyDescent="0.25">
      <c r="L186" s="2">
        <v>504016</v>
      </c>
      <c r="M186" s="2" t="s">
        <v>52</v>
      </c>
      <c r="N186" s="2">
        <v>505839</v>
      </c>
      <c r="O186" t="s">
        <v>53</v>
      </c>
      <c r="P186">
        <v>3386299969</v>
      </c>
      <c r="Q186" s="5">
        <v>46029.626030092593</v>
      </c>
      <c r="R186" s="2" t="s">
        <v>54</v>
      </c>
      <c r="S186" s="2" t="s">
        <v>51</v>
      </c>
      <c r="T186" s="2" t="s">
        <v>55</v>
      </c>
      <c r="U186" s="2" t="s">
        <v>59</v>
      </c>
      <c r="V186" s="2" t="s">
        <v>57</v>
      </c>
      <c r="W186" s="2" t="s">
        <v>58</v>
      </c>
      <c r="X186" s="2" t="s">
        <v>59</v>
      </c>
      <c r="Y186" s="1">
        <v>596.97</v>
      </c>
      <c r="Z186" s="1">
        <v>596.97</v>
      </c>
      <c r="AA186" s="1">
        <v>0</v>
      </c>
      <c r="AB186" s="1">
        <v>29.85</v>
      </c>
      <c r="AC186" s="1">
        <v>0</v>
      </c>
      <c r="AD186" s="1">
        <v>76.977890000000002</v>
      </c>
      <c r="AE186" s="1">
        <v>626.82000000000005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10.446975</v>
      </c>
      <c r="AP186" s="1">
        <v>1.4625764999999999</v>
      </c>
      <c r="AQ186" s="1">
        <v>523.65788999999995</v>
      </c>
      <c r="AR186" s="1">
        <v>523.65788999999995</v>
      </c>
      <c r="AS186" s="1">
        <v>130.91446999999999</v>
      </c>
      <c r="AT186" s="1">
        <v>18.328025799999999</v>
      </c>
      <c r="AU186" s="1">
        <v>32.99</v>
      </c>
      <c r="AV186" s="2" t="s">
        <v>60</v>
      </c>
      <c r="AW186" s="1">
        <v>402.82799999999997</v>
      </c>
      <c r="AX186" s="1">
        <f>Table1[[#This Row],[Original Commissionable GMV]]-Table1[[#This Row],[Commission ]]-Table1[[#This Row],[Commission VAT]]-Table1[[#This Row],[FreeDeliveryFund]]</f>
        <v>341.42539419999997</v>
      </c>
      <c r="AY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M186" s="2"/>
    </row>
    <row r="187" spans="12:65" x14ac:dyDescent="0.25">
      <c r="L187" s="2">
        <v>504016</v>
      </c>
      <c r="M187" s="2" t="s">
        <v>52</v>
      </c>
      <c r="N187" s="2">
        <v>505837</v>
      </c>
      <c r="O187" t="s">
        <v>63</v>
      </c>
      <c r="P187">
        <v>3386348358</v>
      </c>
      <c r="Q187" s="5">
        <v>46029.644976851851</v>
      </c>
      <c r="R187" s="2" t="s">
        <v>54</v>
      </c>
      <c r="S187" s="2" t="s">
        <v>51</v>
      </c>
      <c r="T187" s="2" t="s">
        <v>55</v>
      </c>
      <c r="U187" s="2" t="s">
        <v>59</v>
      </c>
      <c r="V187" s="2" t="s">
        <v>57</v>
      </c>
      <c r="W187" s="2" t="s">
        <v>58</v>
      </c>
      <c r="X187" s="2" t="s">
        <v>59</v>
      </c>
      <c r="Y187" s="1">
        <v>949.98</v>
      </c>
      <c r="Z187" s="1">
        <v>949.98</v>
      </c>
      <c r="AA187" s="1">
        <v>0</v>
      </c>
      <c r="AB187" s="1">
        <v>29.99</v>
      </c>
      <c r="AC187" s="1">
        <v>0</v>
      </c>
      <c r="AD187" s="1">
        <v>120.34719</v>
      </c>
      <c r="AE187" s="1">
        <v>979.97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16.624649999999999</v>
      </c>
      <c r="AP187" s="1">
        <v>2.3274509999999999</v>
      </c>
      <c r="AQ187" s="1">
        <v>833.31578999999999</v>
      </c>
      <c r="AR187" s="1">
        <v>833.31578999999999</v>
      </c>
      <c r="AS187" s="1">
        <v>208.32894999999999</v>
      </c>
      <c r="AT187" s="1">
        <v>29.166053000000002</v>
      </c>
      <c r="AU187" s="1">
        <v>29.99</v>
      </c>
      <c r="AV187" s="2" t="s">
        <v>60</v>
      </c>
      <c r="AW187" s="1">
        <v>663.54300000000001</v>
      </c>
      <c r="AX187" s="1">
        <f>Table1[[#This Row],[Original Commissionable GMV]]-Table1[[#This Row],[Commission ]]-Table1[[#This Row],[Commission VAT]]-Table1[[#This Row],[FreeDeliveryFund]]</f>
        <v>565.83078699999999</v>
      </c>
      <c r="AY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M187" s="2"/>
    </row>
    <row r="188" spans="12:65" x14ac:dyDescent="0.25">
      <c r="L188" s="2">
        <v>504016</v>
      </c>
      <c r="M188" s="2" t="s">
        <v>52</v>
      </c>
      <c r="N188" s="2">
        <v>505839</v>
      </c>
      <c r="O188" t="s">
        <v>53</v>
      </c>
      <c r="P188">
        <v>3386380480</v>
      </c>
      <c r="Q188" s="5">
        <v>46029.65724537037</v>
      </c>
      <c r="R188" s="2" t="s">
        <v>54</v>
      </c>
      <c r="S188" s="2" t="s">
        <v>51</v>
      </c>
      <c r="T188" s="2" t="s">
        <v>55</v>
      </c>
      <c r="U188" s="2" t="s">
        <v>59</v>
      </c>
      <c r="V188" s="2" t="s">
        <v>57</v>
      </c>
      <c r="W188" s="2" t="s">
        <v>58</v>
      </c>
      <c r="X188" s="2" t="s">
        <v>59</v>
      </c>
      <c r="Y188" s="1">
        <v>824.91</v>
      </c>
      <c r="Z188" s="1">
        <v>824.91</v>
      </c>
      <c r="AA188" s="1">
        <v>0</v>
      </c>
      <c r="AB188" s="1">
        <v>29.99</v>
      </c>
      <c r="AC188" s="1">
        <v>0</v>
      </c>
      <c r="AD188" s="1">
        <v>104.98772</v>
      </c>
      <c r="AE188" s="1">
        <v>854.9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14.435924999999999</v>
      </c>
      <c r="AP188" s="1">
        <v>2.0210295</v>
      </c>
      <c r="AQ188" s="1">
        <v>723.60526000000004</v>
      </c>
      <c r="AR188" s="1">
        <v>723.60526000000004</v>
      </c>
      <c r="AS188" s="1">
        <v>180.90132</v>
      </c>
      <c r="AT188" s="1">
        <v>25.3261848</v>
      </c>
      <c r="AU188" s="1">
        <v>31.99</v>
      </c>
      <c r="AV188" s="2" t="s">
        <v>60</v>
      </c>
      <c r="AW188" s="1">
        <v>570.23599999999999</v>
      </c>
      <c r="AX188" s="1">
        <f>Table1[[#This Row],[Original Commissionable GMV]]-Table1[[#This Row],[Commission ]]-Table1[[#This Row],[Commission VAT]]-Table1[[#This Row],[FreeDeliveryFund]]</f>
        <v>485.38775520000013</v>
      </c>
      <c r="AY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M188" s="2"/>
    </row>
    <row r="189" spans="12:65" x14ac:dyDescent="0.25">
      <c r="L189" s="2">
        <v>504016</v>
      </c>
      <c r="M189" s="2" t="s">
        <v>52</v>
      </c>
      <c r="N189" s="2">
        <v>505839</v>
      </c>
      <c r="O189" t="s">
        <v>63</v>
      </c>
      <c r="P189">
        <v>3386491216</v>
      </c>
      <c r="Q189" s="5">
        <v>46029.696956018517</v>
      </c>
      <c r="R189" s="2" t="s">
        <v>62</v>
      </c>
      <c r="S189" s="2" t="s">
        <v>51</v>
      </c>
      <c r="T189" s="2" t="s">
        <v>55</v>
      </c>
      <c r="U189" s="2" t="s">
        <v>59</v>
      </c>
      <c r="V189" s="2" t="s">
        <v>57</v>
      </c>
      <c r="W189" s="2" t="s">
        <v>58</v>
      </c>
      <c r="X189" s="2" t="s">
        <v>59</v>
      </c>
      <c r="Y189" s="1">
        <v>760.98</v>
      </c>
      <c r="Z189" s="1">
        <v>760.98</v>
      </c>
      <c r="AA189" s="1">
        <v>0</v>
      </c>
      <c r="AB189" s="1">
        <v>29.99</v>
      </c>
      <c r="AC189" s="1">
        <v>0</v>
      </c>
      <c r="AD189" s="1">
        <v>97.136669999999995</v>
      </c>
      <c r="AE189" s="1">
        <v>790.97</v>
      </c>
      <c r="AG189" s="1">
        <v>0</v>
      </c>
      <c r="AH189" s="1">
        <v>0</v>
      </c>
      <c r="AI189" s="1">
        <v>298.68</v>
      </c>
      <c r="AJ189" s="1">
        <v>0</v>
      </c>
      <c r="AK189" s="1">
        <v>298.68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667.52632000000006</v>
      </c>
      <c r="AR189" s="1">
        <v>667.52632000000006</v>
      </c>
      <c r="AS189" s="1">
        <v>166.88158000000001</v>
      </c>
      <c r="AT189" s="1">
        <v>23.363421200000001</v>
      </c>
      <c r="AU189" s="1">
        <v>28.99</v>
      </c>
      <c r="AV189" s="2" t="s">
        <v>60</v>
      </c>
      <c r="AW189" s="1">
        <v>541.745</v>
      </c>
      <c r="AX189" s="1">
        <f>Table1[[#This Row],[Original Commissionable GMV]]-Table1[[#This Row],[Commission ]]-Table1[[#This Row],[Commission VAT]]-Table1[[#This Row],[FreeDeliveryFund]]</f>
        <v>448.29131880000006</v>
      </c>
      <c r="AY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M189" s="2"/>
    </row>
    <row r="190" spans="12:65" x14ac:dyDescent="0.25">
      <c r="L190" s="2">
        <v>504016</v>
      </c>
      <c r="M190" s="2" t="s">
        <v>52</v>
      </c>
      <c r="N190" s="2">
        <v>505837</v>
      </c>
      <c r="O190" t="s">
        <v>53</v>
      </c>
      <c r="P190">
        <v>3386526613</v>
      </c>
      <c r="Q190" s="5">
        <v>46029.70853009259</v>
      </c>
      <c r="R190" s="2" t="s">
        <v>54</v>
      </c>
      <c r="S190" s="2" t="s">
        <v>51</v>
      </c>
      <c r="T190" s="2" t="s">
        <v>55</v>
      </c>
      <c r="U190" s="2" t="s">
        <v>59</v>
      </c>
      <c r="V190" s="2" t="s">
        <v>57</v>
      </c>
      <c r="W190" s="2" t="s">
        <v>58</v>
      </c>
      <c r="X190" s="2" t="s">
        <v>59</v>
      </c>
      <c r="Y190" s="1">
        <v>844</v>
      </c>
      <c r="Z190" s="1">
        <v>844</v>
      </c>
      <c r="AA190" s="1">
        <v>0</v>
      </c>
      <c r="AB190" s="1">
        <v>29.99</v>
      </c>
      <c r="AC190" s="1">
        <v>0</v>
      </c>
      <c r="AD190" s="1">
        <v>107.33211</v>
      </c>
      <c r="AE190" s="1">
        <v>873.99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14.77</v>
      </c>
      <c r="AP190" s="1">
        <v>2.0678000000000001</v>
      </c>
      <c r="AQ190" s="1">
        <v>740.35087999999996</v>
      </c>
      <c r="AR190" s="1">
        <v>740.35087999999996</v>
      </c>
      <c r="AS190" s="1">
        <v>185.08771999999999</v>
      </c>
      <c r="AT190" s="1">
        <v>25.912280800000001</v>
      </c>
      <c r="AU190" s="1">
        <v>33.99</v>
      </c>
      <c r="AV190" s="2" t="s">
        <v>60</v>
      </c>
      <c r="AW190" s="1">
        <v>582.17200000000003</v>
      </c>
      <c r="AX190" s="1">
        <f>Table1[[#This Row],[Original Commissionable GMV]]-Table1[[#This Row],[Commission ]]-Table1[[#This Row],[Commission VAT]]-Table1[[#This Row],[FreeDeliveryFund]]</f>
        <v>495.3608792</v>
      </c>
      <c r="AY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M190" s="2"/>
    </row>
    <row r="191" spans="12:65" x14ac:dyDescent="0.25">
      <c r="L191" s="2">
        <v>504016</v>
      </c>
      <c r="M191" s="2" t="s">
        <v>52</v>
      </c>
      <c r="N191" s="2">
        <v>505837</v>
      </c>
      <c r="O191" t="s">
        <v>65</v>
      </c>
      <c r="P191">
        <v>3386643246</v>
      </c>
      <c r="Q191" s="5">
        <v>46029.744641203702</v>
      </c>
      <c r="R191" s="2" t="s">
        <v>62</v>
      </c>
      <c r="S191" s="2" t="s">
        <v>51</v>
      </c>
      <c r="T191" s="2" t="s">
        <v>55</v>
      </c>
      <c r="U191" s="2" t="s">
        <v>59</v>
      </c>
      <c r="V191" s="2" t="s">
        <v>57</v>
      </c>
      <c r="W191" s="2" t="s">
        <v>58</v>
      </c>
      <c r="X191" s="2" t="s">
        <v>59</v>
      </c>
      <c r="Y191" s="1">
        <v>518.99</v>
      </c>
      <c r="Z191" s="1">
        <v>518.99</v>
      </c>
      <c r="AA191" s="1">
        <v>7</v>
      </c>
      <c r="AB191" s="1">
        <v>25.95</v>
      </c>
      <c r="AC191" s="1">
        <v>0</v>
      </c>
      <c r="AD191" s="1">
        <v>67.782110000000003</v>
      </c>
      <c r="AE191" s="1">
        <v>551.94000000000005</v>
      </c>
      <c r="AG191" s="1">
        <v>0</v>
      </c>
      <c r="AH191" s="1">
        <v>0</v>
      </c>
      <c r="AI191" s="1">
        <v>430.92</v>
      </c>
      <c r="AJ191" s="1">
        <v>0</v>
      </c>
      <c r="AK191" s="1">
        <v>430.92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455.25439</v>
      </c>
      <c r="AR191" s="1">
        <v>455.25439</v>
      </c>
      <c r="AS191" s="1">
        <v>113.81359999999999</v>
      </c>
      <c r="AT191" s="1">
        <v>15.933904</v>
      </c>
      <c r="AU191" s="1">
        <v>26.99</v>
      </c>
      <c r="AV191" s="2" t="s">
        <v>60</v>
      </c>
      <c r="AW191" s="1">
        <v>362.25200000000001</v>
      </c>
      <c r="AX191" s="1">
        <f>Table1[[#This Row],[Original Commissionable GMV]]-Table1[[#This Row],[Commission ]]-Table1[[#This Row],[Commission VAT]]-Table1[[#This Row],[FreeDeliveryFund]]</f>
        <v>298.516886</v>
      </c>
      <c r="AY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M191" s="2"/>
    </row>
    <row r="192" spans="12:65" x14ac:dyDescent="0.25">
      <c r="L192" s="2">
        <v>504016</v>
      </c>
      <c r="M192" s="2" t="s">
        <v>52</v>
      </c>
      <c r="N192" s="2">
        <v>505839</v>
      </c>
      <c r="O192" t="s">
        <v>63</v>
      </c>
      <c r="P192">
        <v>3386680306</v>
      </c>
      <c r="Q192" s="5">
        <v>46029.755636574075</v>
      </c>
      <c r="R192" s="2" t="s">
        <v>54</v>
      </c>
      <c r="S192" s="2" t="s">
        <v>51</v>
      </c>
      <c r="T192" s="2" t="s">
        <v>55</v>
      </c>
      <c r="U192" s="2" t="s">
        <v>56</v>
      </c>
      <c r="V192" s="2" t="s">
        <v>57</v>
      </c>
      <c r="W192" s="2" t="s">
        <v>58</v>
      </c>
      <c r="X192" s="2" t="s">
        <v>59</v>
      </c>
      <c r="Y192" s="1">
        <v>353.99</v>
      </c>
      <c r="Z192" s="1">
        <v>353.99</v>
      </c>
      <c r="AA192" s="1">
        <v>0</v>
      </c>
      <c r="AB192" s="1">
        <v>17.7</v>
      </c>
      <c r="AC192" s="1">
        <v>0</v>
      </c>
      <c r="AD192" s="1">
        <v>45.646140000000003</v>
      </c>
      <c r="AE192" s="1">
        <v>371.69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6.1948249999999998</v>
      </c>
      <c r="AP192" s="1">
        <v>0.86727549999999998</v>
      </c>
      <c r="AQ192" s="1">
        <v>310.51754</v>
      </c>
      <c r="AR192" s="1">
        <v>310.51754</v>
      </c>
      <c r="AS192" s="1">
        <v>77.629390000000001</v>
      </c>
      <c r="AT192" s="1">
        <v>10.8681146</v>
      </c>
      <c r="AU192" s="1">
        <v>30.99</v>
      </c>
      <c r="AV192" s="2" t="s">
        <v>60</v>
      </c>
      <c r="AW192" s="1">
        <v>227.44</v>
      </c>
      <c r="AX192" s="1">
        <f>Table1[[#This Row],[Original Commissionable GMV]]-Table1[[#This Row],[Commission ]]-Table1[[#This Row],[Commission VAT]]-Table1[[#This Row],[FreeDeliveryFund]]</f>
        <v>191.03003539999997</v>
      </c>
      <c r="AY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M192" s="2"/>
    </row>
    <row r="193" spans="12:65" x14ac:dyDescent="0.25">
      <c r="L193" s="2">
        <v>504016</v>
      </c>
      <c r="M193" s="2" t="s">
        <v>52</v>
      </c>
      <c r="N193" s="2">
        <v>505837</v>
      </c>
      <c r="O193" t="s">
        <v>63</v>
      </c>
      <c r="P193">
        <v>3386804403</v>
      </c>
      <c r="Q193" s="5">
        <v>46029.792638888888</v>
      </c>
      <c r="R193" s="2" t="s">
        <v>54</v>
      </c>
      <c r="S193" s="2" t="s">
        <v>51</v>
      </c>
      <c r="T193" s="2" t="s">
        <v>55</v>
      </c>
      <c r="U193" s="2" t="s">
        <v>59</v>
      </c>
      <c r="V193" s="2" t="s">
        <v>57</v>
      </c>
      <c r="W193" s="2" t="s">
        <v>58</v>
      </c>
      <c r="X193" s="2" t="s">
        <v>59</v>
      </c>
      <c r="Y193" s="1">
        <v>367.86</v>
      </c>
      <c r="Z193" s="1">
        <v>367.86</v>
      </c>
      <c r="AA193" s="1">
        <v>0</v>
      </c>
      <c r="AB193" s="1">
        <v>18.39</v>
      </c>
      <c r="AC193" s="1">
        <v>0</v>
      </c>
      <c r="AD193" s="1">
        <v>47.43421</v>
      </c>
      <c r="AE193" s="1">
        <v>386.25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6.4375499999999999</v>
      </c>
      <c r="AP193" s="1">
        <v>0.90125699999999997</v>
      </c>
      <c r="AQ193" s="1">
        <v>322.68421000000001</v>
      </c>
      <c r="AR193" s="1">
        <v>322.68421000000001</v>
      </c>
      <c r="AS193" s="1">
        <v>80.671049999999994</v>
      </c>
      <c r="AT193" s="1">
        <v>11.293946999999999</v>
      </c>
      <c r="AU193" s="1">
        <v>29.99</v>
      </c>
      <c r="AV193" s="2" t="s">
        <v>60</v>
      </c>
      <c r="AW193" s="1">
        <v>238.566</v>
      </c>
      <c r="AX193" s="1">
        <f>Table1[[#This Row],[Original Commissionable GMV]]-Table1[[#This Row],[Commission ]]-Table1[[#This Row],[Commission VAT]]-Table1[[#This Row],[FreeDeliveryFund]]</f>
        <v>200.72921300000002</v>
      </c>
      <c r="AY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M193" s="2"/>
    </row>
    <row r="194" spans="12:65" x14ac:dyDescent="0.25">
      <c r="L194" s="2">
        <v>504016</v>
      </c>
      <c r="M194" s="2" t="s">
        <v>52</v>
      </c>
      <c r="N194" s="2">
        <v>505839</v>
      </c>
      <c r="O194" t="s">
        <v>63</v>
      </c>
      <c r="P194">
        <v>3386882246</v>
      </c>
      <c r="Q194" s="5">
        <v>46029.815844907411</v>
      </c>
      <c r="R194" s="2" t="s">
        <v>62</v>
      </c>
      <c r="S194" s="2" t="s">
        <v>51</v>
      </c>
      <c r="T194" s="2" t="s">
        <v>55</v>
      </c>
      <c r="U194" s="2" t="s">
        <v>56</v>
      </c>
      <c r="V194" s="2" t="s">
        <v>57</v>
      </c>
      <c r="W194" s="2" t="s">
        <v>58</v>
      </c>
      <c r="X194" s="2" t="s">
        <v>59</v>
      </c>
      <c r="Y194" s="1">
        <v>237.99</v>
      </c>
      <c r="Z194" s="1">
        <v>237.99</v>
      </c>
      <c r="AA194" s="1">
        <v>29.99</v>
      </c>
      <c r="AB194" s="1">
        <v>11.9</v>
      </c>
      <c r="AC194" s="1">
        <v>0</v>
      </c>
      <c r="AD194" s="1">
        <v>34.371229999999997</v>
      </c>
      <c r="AE194" s="1">
        <v>279.88</v>
      </c>
      <c r="AG194" s="1">
        <v>0</v>
      </c>
      <c r="AH194" s="1">
        <v>0</v>
      </c>
      <c r="AI194" s="1">
        <v>132.24</v>
      </c>
      <c r="AJ194" s="1">
        <v>0</v>
      </c>
      <c r="AK194" s="1">
        <v>132.24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208.76316</v>
      </c>
      <c r="AR194" s="1">
        <v>208.76316</v>
      </c>
      <c r="AS194" s="1">
        <v>52.19079</v>
      </c>
      <c r="AT194" s="1">
        <v>7.3067105999999997</v>
      </c>
      <c r="AU194" s="1">
        <v>0</v>
      </c>
      <c r="AV194" s="2" t="s">
        <v>69</v>
      </c>
      <c r="AW194" s="1">
        <v>178.49199999999999</v>
      </c>
      <c r="AX194" s="1">
        <f>Table1[[#This Row],[Original Commissionable GMV]]-Table1[[#This Row],[Commission ]]-Table1[[#This Row],[Commission VAT]]-Table1[[#This Row],[FreeDeliveryFund]]</f>
        <v>149.2656594</v>
      </c>
      <c r="AY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M194" s="2"/>
    </row>
    <row r="195" spans="12:65" x14ac:dyDescent="0.25">
      <c r="L195" s="2">
        <v>504016</v>
      </c>
      <c r="M195" s="2" t="s">
        <v>52</v>
      </c>
      <c r="N195" s="2">
        <v>505839</v>
      </c>
      <c r="O195" t="s">
        <v>63</v>
      </c>
      <c r="P195">
        <v>3386911140</v>
      </c>
      <c r="Q195" s="5">
        <v>46029.824803240743</v>
      </c>
      <c r="R195" s="2" t="s">
        <v>62</v>
      </c>
      <c r="S195" s="2" t="s">
        <v>51</v>
      </c>
      <c r="T195" s="2" t="s">
        <v>55</v>
      </c>
      <c r="U195" s="2" t="s">
        <v>59</v>
      </c>
      <c r="V195" s="2" t="s">
        <v>57</v>
      </c>
      <c r="W195" s="2" t="s">
        <v>58</v>
      </c>
      <c r="X195" s="2" t="s">
        <v>59</v>
      </c>
      <c r="Y195" s="1">
        <v>739.77</v>
      </c>
      <c r="Z195" s="1">
        <v>739.77</v>
      </c>
      <c r="AA195" s="1">
        <v>0</v>
      </c>
      <c r="AB195" s="1">
        <v>29.99</v>
      </c>
      <c r="AC195" s="1">
        <v>0</v>
      </c>
      <c r="AD195" s="1">
        <v>94.531930000000003</v>
      </c>
      <c r="AE195" s="1">
        <v>769.76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648.92105000000004</v>
      </c>
      <c r="AR195" s="1">
        <v>648.92105000000004</v>
      </c>
      <c r="AS195" s="1">
        <v>162.23025999999999</v>
      </c>
      <c r="AT195" s="1">
        <v>22.712236399999998</v>
      </c>
      <c r="AU195" s="1">
        <v>28.99</v>
      </c>
      <c r="AV195" s="2" t="s">
        <v>60</v>
      </c>
      <c r="AW195" s="1">
        <v>525.83799999999997</v>
      </c>
      <c r="AX195" s="1">
        <f>Table1[[#This Row],[Original Commissionable GMV]]-Table1[[#This Row],[Commission ]]-Table1[[#This Row],[Commission VAT]]-Table1[[#This Row],[FreeDeliveryFund]]</f>
        <v>434.98855360000005</v>
      </c>
      <c r="AY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M195" s="2"/>
    </row>
    <row r="196" spans="12:65" x14ac:dyDescent="0.25">
      <c r="L196" s="2">
        <v>504016</v>
      </c>
      <c r="M196" s="2" t="s">
        <v>52</v>
      </c>
      <c r="N196" s="2">
        <v>505839</v>
      </c>
      <c r="O196" t="s">
        <v>63</v>
      </c>
      <c r="P196">
        <v>3387002235</v>
      </c>
      <c r="Q196" s="5">
        <v>46029.854502314818</v>
      </c>
      <c r="R196" s="2" t="s">
        <v>54</v>
      </c>
      <c r="S196" s="2" t="s">
        <v>51</v>
      </c>
      <c r="T196" s="2" t="s">
        <v>55</v>
      </c>
      <c r="U196" s="2" t="s">
        <v>59</v>
      </c>
      <c r="V196" s="2" t="s">
        <v>57</v>
      </c>
      <c r="W196" s="2" t="s">
        <v>58</v>
      </c>
      <c r="X196" s="2" t="s">
        <v>59</v>
      </c>
      <c r="Y196" s="1">
        <v>790.97</v>
      </c>
      <c r="Z196" s="1">
        <v>829.97</v>
      </c>
      <c r="AA196" s="1">
        <v>0</v>
      </c>
      <c r="AB196" s="1">
        <v>29.99</v>
      </c>
      <c r="AC196" s="1">
        <v>0</v>
      </c>
      <c r="AD196" s="1">
        <v>105.60912</v>
      </c>
      <c r="AE196" s="1">
        <v>820.96</v>
      </c>
      <c r="AG196" s="1">
        <v>0</v>
      </c>
      <c r="AH196" s="1">
        <v>39</v>
      </c>
      <c r="AI196" s="1">
        <v>0</v>
      </c>
      <c r="AJ196" s="1">
        <v>0</v>
      </c>
      <c r="AK196" s="1">
        <v>0</v>
      </c>
      <c r="AL196" s="1">
        <v>0</v>
      </c>
      <c r="AM196" s="1">
        <v>30</v>
      </c>
      <c r="AN196" s="1">
        <v>4.2</v>
      </c>
      <c r="AO196" s="1">
        <v>13.841975</v>
      </c>
      <c r="AP196" s="1">
        <v>1.9378765</v>
      </c>
      <c r="AQ196" s="1">
        <v>693.83333000000005</v>
      </c>
      <c r="AR196" s="1">
        <v>693.83333000000005</v>
      </c>
      <c r="AS196" s="1">
        <v>173.45832999999999</v>
      </c>
      <c r="AT196" s="1">
        <v>24.284166200000001</v>
      </c>
      <c r="AU196" s="1">
        <v>26.99</v>
      </c>
      <c r="AV196" s="2" t="s">
        <v>60</v>
      </c>
      <c r="AW196" s="1">
        <v>516.25800000000004</v>
      </c>
      <c r="AX196" s="1">
        <f>Table1[[#This Row],[Original Commissionable GMV]]-Table1[[#This Row],[Commission ]]-Table1[[#This Row],[Commission VAT]]-Table1[[#This Row],[FreeDeliveryFund]]</f>
        <v>469.10083379999998</v>
      </c>
      <c r="AY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M196" s="2"/>
    </row>
    <row r="197" spans="12:65" x14ac:dyDescent="0.25">
      <c r="L197" s="2">
        <v>504016</v>
      </c>
      <c r="M197" s="2" t="s">
        <v>52</v>
      </c>
      <c r="N197" s="2">
        <v>505839</v>
      </c>
      <c r="O197" t="s">
        <v>53</v>
      </c>
      <c r="P197">
        <v>3387041518</v>
      </c>
      <c r="Q197" s="5">
        <v>46029.868101851855</v>
      </c>
      <c r="R197" s="2" t="s">
        <v>54</v>
      </c>
      <c r="S197" s="2" t="s">
        <v>51</v>
      </c>
      <c r="T197" s="2" t="s">
        <v>55</v>
      </c>
      <c r="U197" s="2" t="s">
        <v>59</v>
      </c>
      <c r="V197" s="2" t="s">
        <v>57</v>
      </c>
      <c r="W197" s="2" t="s">
        <v>58</v>
      </c>
      <c r="X197" s="2" t="s">
        <v>59</v>
      </c>
      <c r="Y197" s="1">
        <v>396.04</v>
      </c>
      <c r="Z197" s="1">
        <v>457.99</v>
      </c>
      <c r="AA197" s="1">
        <v>0</v>
      </c>
      <c r="AB197" s="1">
        <v>22.9</v>
      </c>
      <c r="AC197" s="1">
        <v>0</v>
      </c>
      <c r="AD197" s="1">
        <v>59.056669999999997</v>
      </c>
      <c r="AE197" s="1">
        <v>418.94</v>
      </c>
      <c r="AG197" s="1">
        <v>0</v>
      </c>
      <c r="AH197" s="1">
        <v>61.95</v>
      </c>
      <c r="AI197" s="1">
        <v>132.24</v>
      </c>
      <c r="AJ197" s="1">
        <v>80</v>
      </c>
      <c r="AK197" s="1">
        <v>132.24</v>
      </c>
      <c r="AL197" s="1">
        <v>0</v>
      </c>
      <c r="AM197" s="1">
        <v>0</v>
      </c>
      <c r="AN197" s="1">
        <v>0</v>
      </c>
      <c r="AO197" s="1">
        <v>6.9306999999999999</v>
      </c>
      <c r="AP197" s="1">
        <v>0.97029799999999999</v>
      </c>
      <c r="AQ197" s="1">
        <v>347.40350999999998</v>
      </c>
      <c r="AR197" s="1">
        <v>347.40350999999998</v>
      </c>
      <c r="AS197" s="1">
        <v>86.850880000000004</v>
      </c>
      <c r="AT197" s="1">
        <v>12.1591232</v>
      </c>
      <c r="AU197" s="1">
        <v>32.99</v>
      </c>
      <c r="AV197" s="2" t="s">
        <v>60</v>
      </c>
      <c r="AW197" s="1">
        <v>256.13900000000001</v>
      </c>
      <c r="AX197" s="1">
        <f>Table1[[#This Row],[Original Commissionable GMV]]-Table1[[#This Row],[Commission ]]-Table1[[#This Row],[Commission VAT]]-Table1[[#This Row],[FreeDeliveryFund]]</f>
        <v>215.40350679999995</v>
      </c>
      <c r="AY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M197" s="2"/>
    </row>
    <row r="198" spans="12:65" x14ac:dyDescent="0.25">
      <c r="L198" s="2">
        <v>504016</v>
      </c>
      <c r="M198" s="2" t="s">
        <v>52</v>
      </c>
      <c r="N198" s="2">
        <v>505839</v>
      </c>
      <c r="O198" t="s">
        <v>53</v>
      </c>
      <c r="P198">
        <v>3387170446</v>
      </c>
      <c r="Q198" s="5">
        <v>46029.918738425928</v>
      </c>
      <c r="R198" s="2" t="s">
        <v>62</v>
      </c>
      <c r="S198" s="2" t="s">
        <v>51</v>
      </c>
      <c r="T198" s="2" t="s">
        <v>55</v>
      </c>
      <c r="U198" s="2" t="s">
        <v>56</v>
      </c>
      <c r="V198" s="2" t="s">
        <v>57</v>
      </c>
      <c r="W198" s="2" t="s">
        <v>58</v>
      </c>
      <c r="X198" s="2" t="s">
        <v>59</v>
      </c>
      <c r="Y198" s="1">
        <v>1248.1199999999999</v>
      </c>
      <c r="Z198" s="1">
        <v>1248.1199999999999</v>
      </c>
      <c r="AA198" s="1">
        <v>41.99</v>
      </c>
      <c r="AB198" s="1">
        <v>29.99</v>
      </c>
      <c r="AC198" s="1">
        <v>0</v>
      </c>
      <c r="AD198" s="1">
        <v>162.11753999999999</v>
      </c>
      <c r="AE198" s="1">
        <v>1320.1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1094.84211</v>
      </c>
      <c r="AR198" s="1">
        <v>1094.84211</v>
      </c>
      <c r="AS198" s="1">
        <v>273.71053000000001</v>
      </c>
      <c r="AT198" s="1">
        <v>38.319474200000002</v>
      </c>
      <c r="AU198" s="1">
        <v>0</v>
      </c>
      <c r="AV198" s="2" t="s">
        <v>69</v>
      </c>
      <c r="AW198" s="1">
        <v>936.09</v>
      </c>
      <c r="AX198" s="1">
        <f>Table1[[#This Row],[Original Commissionable GMV]]-Table1[[#This Row],[Commission ]]-Table1[[#This Row],[Commission VAT]]-Table1[[#This Row],[FreeDeliveryFund]]</f>
        <v>782.81210579999993</v>
      </c>
      <c r="AY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M198" s="2"/>
    </row>
    <row r="199" spans="12:65" x14ac:dyDescent="0.25">
      <c r="L199" s="2">
        <v>504016</v>
      </c>
      <c r="M199" s="2" t="s">
        <v>52</v>
      </c>
      <c r="N199" s="2">
        <v>505839</v>
      </c>
      <c r="O199" t="s">
        <v>53</v>
      </c>
      <c r="P199">
        <v>3387850286</v>
      </c>
      <c r="Q199" s="5">
        <v>46030.52542824074</v>
      </c>
      <c r="R199" s="2" t="s">
        <v>62</v>
      </c>
      <c r="S199" s="2" t="s">
        <v>51</v>
      </c>
      <c r="T199" s="2" t="s">
        <v>55</v>
      </c>
      <c r="U199" s="2" t="s">
        <v>59</v>
      </c>
      <c r="V199" s="2" t="s">
        <v>57</v>
      </c>
      <c r="W199" s="2" t="s">
        <v>58</v>
      </c>
      <c r="X199" s="2" t="s">
        <v>59</v>
      </c>
      <c r="Y199" s="1">
        <v>440.35</v>
      </c>
      <c r="Z199" s="1">
        <v>440.35</v>
      </c>
      <c r="AA199" s="1">
        <v>33.99</v>
      </c>
      <c r="AB199" s="1">
        <v>22.02</v>
      </c>
      <c r="AC199" s="1">
        <v>0</v>
      </c>
      <c r="AD199" s="1">
        <v>60.956490000000002</v>
      </c>
      <c r="AE199" s="1">
        <v>496.36</v>
      </c>
      <c r="AG199" s="1">
        <v>0</v>
      </c>
      <c r="AH199" s="1">
        <v>0</v>
      </c>
      <c r="AI199" s="1">
        <v>132.24</v>
      </c>
      <c r="AJ199" s="1">
        <v>0</v>
      </c>
      <c r="AK199" s="1">
        <v>132.24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386.27193</v>
      </c>
      <c r="AR199" s="1">
        <v>386.27193</v>
      </c>
      <c r="AS199" s="1">
        <v>96.567980000000006</v>
      </c>
      <c r="AT199" s="1">
        <v>13.519517199999999</v>
      </c>
      <c r="AU199" s="1">
        <v>0</v>
      </c>
      <c r="AV199" s="2" t="s">
        <v>69</v>
      </c>
      <c r="AW199" s="1">
        <v>330.26299999999998</v>
      </c>
      <c r="AX199" s="1">
        <f>Table1[[#This Row],[Original Commissionable GMV]]-Table1[[#This Row],[Commission ]]-Table1[[#This Row],[Commission VAT]]-Table1[[#This Row],[FreeDeliveryFund]]</f>
        <v>276.18443279999997</v>
      </c>
      <c r="AY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M199" s="2"/>
    </row>
    <row r="200" spans="12:65" x14ac:dyDescent="0.25">
      <c r="L200" s="2">
        <v>504016</v>
      </c>
      <c r="M200" s="2" t="s">
        <v>52</v>
      </c>
      <c r="N200" s="2">
        <v>505839</v>
      </c>
      <c r="O200" t="s">
        <v>63</v>
      </c>
      <c r="P200">
        <v>3387945314</v>
      </c>
      <c r="Q200" s="5">
        <v>46030.564201388886</v>
      </c>
      <c r="R200" s="2" t="s">
        <v>54</v>
      </c>
      <c r="S200" s="2" t="s">
        <v>51</v>
      </c>
      <c r="T200" s="2" t="s">
        <v>55</v>
      </c>
      <c r="U200" s="2" t="s">
        <v>59</v>
      </c>
      <c r="V200" s="2" t="s">
        <v>57</v>
      </c>
      <c r="W200" s="2" t="s">
        <v>58</v>
      </c>
      <c r="X200" s="2" t="s">
        <v>59</v>
      </c>
      <c r="Y200" s="1">
        <v>239.99</v>
      </c>
      <c r="Z200" s="1">
        <v>239.99</v>
      </c>
      <c r="AA200" s="1">
        <v>0</v>
      </c>
      <c r="AB200" s="1">
        <v>12</v>
      </c>
      <c r="AC200" s="1">
        <v>0</v>
      </c>
      <c r="AD200" s="1">
        <v>30.94614</v>
      </c>
      <c r="AE200" s="1">
        <v>251.99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4.1998249999999997</v>
      </c>
      <c r="AP200" s="1">
        <v>0.58797549999999998</v>
      </c>
      <c r="AQ200" s="1">
        <v>210.51754</v>
      </c>
      <c r="AR200" s="1">
        <v>210.51754</v>
      </c>
      <c r="AS200" s="1">
        <v>52.629390000000001</v>
      </c>
      <c r="AT200" s="1">
        <v>7.3681146000000002</v>
      </c>
      <c r="AU200" s="1">
        <v>27.99</v>
      </c>
      <c r="AV200" s="2" t="s">
        <v>60</v>
      </c>
      <c r="AW200" s="1">
        <v>147.215</v>
      </c>
      <c r="AX200" s="1">
        <f>Table1[[#This Row],[Original Commissionable GMV]]-Table1[[#This Row],[Commission ]]-Table1[[#This Row],[Commission VAT]]-Table1[[#This Row],[FreeDeliveryFund]]</f>
        <v>122.53003539999999</v>
      </c>
      <c r="AY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M200" s="2"/>
    </row>
    <row r="201" spans="12:65" x14ac:dyDescent="0.25">
      <c r="L201" s="2">
        <v>504016</v>
      </c>
      <c r="M201" s="2" t="s">
        <v>52</v>
      </c>
      <c r="N201" s="2">
        <v>505837</v>
      </c>
      <c r="O201" t="s">
        <v>63</v>
      </c>
      <c r="P201">
        <v>3387996334</v>
      </c>
      <c r="Q201" s="5">
        <v>46030.584594907406</v>
      </c>
      <c r="R201" s="2" t="s">
        <v>54</v>
      </c>
      <c r="S201" s="2" t="s">
        <v>51</v>
      </c>
      <c r="T201" s="2" t="s">
        <v>55</v>
      </c>
      <c r="U201" s="2" t="s">
        <v>59</v>
      </c>
      <c r="V201" s="2" t="s">
        <v>57</v>
      </c>
      <c r="W201" s="2" t="s">
        <v>58</v>
      </c>
      <c r="X201" s="2" t="s">
        <v>59</v>
      </c>
      <c r="Y201" s="1">
        <v>466.99</v>
      </c>
      <c r="Z201" s="1">
        <v>466.99</v>
      </c>
      <c r="AA201" s="1">
        <v>7</v>
      </c>
      <c r="AB201" s="1">
        <v>23.35</v>
      </c>
      <c r="AC201" s="1">
        <v>0</v>
      </c>
      <c r="AD201" s="1">
        <v>61.076839999999997</v>
      </c>
      <c r="AE201" s="1">
        <v>497.34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8.1723250000000007</v>
      </c>
      <c r="AP201" s="1">
        <v>1.1441254999999999</v>
      </c>
      <c r="AQ201" s="1">
        <v>409.64035000000001</v>
      </c>
      <c r="AR201" s="1">
        <v>409.64035000000001</v>
      </c>
      <c r="AS201" s="1">
        <v>102.41009</v>
      </c>
      <c r="AT201" s="1">
        <v>14.3374126</v>
      </c>
      <c r="AU201" s="1">
        <v>28.99</v>
      </c>
      <c r="AV201" s="2" t="s">
        <v>60</v>
      </c>
      <c r="AW201" s="1">
        <v>311.93599999999998</v>
      </c>
      <c r="AX201" s="1">
        <f>Table1[[#This Row],[Original Commissionable GMV]]-Table1[[#This Row],[Commission ]]-Table1[[#This Row],[Commission VAT]]-Table1[[#This Row],[FreeDeliveryFund]]</f>
        <v>263.90284740000004</v>
      </c>
      <c r="AY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M201" s="2"/>
    </row>
    <row r="202" spans="12:65" x14ac:dyDescent="0.25">
      <c r="L202" s="2">
        <v>504016</v>
      </c>
      <c r="M202" s="2" t="s">
        <v>52</v>
      </c>
      <c r="N202" s="2">
        <v>505837</v>
      </c>
      <c r="O202" t="s">
        <v>63</v>
      </c>
      <c r="P202">
        <v>3388124222</v>
      </c>
      <c r="Q202" s="5">
        <v>46030.633888888886</v>
      </c>
      <c r="R202" s="2" t="s">
        <v>62</v>
      </c>
      <c r="S202" s="2" t="s">
        <v>51</v>
      </c>
      <c r="T202" s="2" t="s">
        <v>55</v>
      </c>
      <c r="U202" s="2" t="s">
        <v>59</v>
      </c>
      <c r="V202" s="2" t="s">
        <v>57</v>
      </c>
      <c r="W202" s="2" t="s">
        <v>58</v>
      </c>
      <c r="X202" s="2" t="s">
        <v>59</v>
      </c>
      <c r="Y202" s="1">
        <v>627.98</v>
      </c>
      <c r="Z202" s="1">
        <v>627.98</v>
      </c>
      <c r="AA202" s="1">
        <v>26.99</v>
      </c>
      <c r="AB202" s="1">
        <v>29.99</v>
      </c>
      <c r="AC202" s="1">
        <v>0</v>
      </c>
      <c r="AD202" s="1">
        <v>84.117890000000003</v>
      </c>
      <c r="AE202" s="1">
        <v>684.96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550.85964999999999</v>
      </c>
      <c r="AR202" s="1">
        <v>550.85964999999999</v>
      </c>
      <c r="AS202" s="1">
        <v>137.71491</v>
      </c>
      <c r="AT202" s="1">
        <v>19.280087399999999</v>
      </c>
      <c r="AU202" s="1">
        <v>0</v>
      </c>
      <c r="AV202" s="2" t="s">
        <v>69</v>
      </c>
      <c r="AW202" s="1">
        <v>470.98500000000001</v>
      </c>
      <c r="AX202" s="1">
        <f>Table1[[#This Row],[Original Commissionable GMV]]-Table1[[#This Row],[Commission ]]-Table1[[#This Row],[Commission VAT]]-Table1[[#This Row],[FreeDeliveryFund]]</f>
        <v>393.86465259999994</v>
      </c>
      <c r="AY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M202" s="2"/>
    </row>
    <row r="203" spans="12:65" x14ac:dyDescent="0.25">
      <c r="L203" s="2">
        <v>504016</v>
      </c>
      <c r="M203" s="2" t="s">
        <v>52</v>
      </c>
      <c r="N203" s="2">
        <v>505839</v>
      </c>
      <c r="O203" t="s">
        <v>65</v>
      </c>
      <c r="P203">
        <v>3388174432</v>
      </c>
      <c r="Q203" s="5">
        <v>46030.652314814812</v>
      </c>
      <c r="R203" s="2" t="s">
        <v>54</v>
      </c>
      <c r="S203" s="2" t="s">
        <v>51</v>
      </c>
      <c r="T203" s="2" t="s">
        <v>55</v>
      </c>
      <c r="U203" s="2" t="s">
        <v>56</v>
      </c>
      <c r="V203" s="2" t="s">
        <v>57</v>
      </c>
      <c r="W203" s="2" t="s">
        <v>58</v>
      </c>
      <c r="X203" s="2" t="s">
        <v>59</v>
      </c>
      <c r="Y203" s="1">
        <v>258</v>
      </c>
      <c r="Z203" s="1">
        <v>258</v>
      </c>
      <c r="AA203" s="1">
        <v>0</v>
      </c>
      <c r="AB203" s="1">
        <v>12.9</v>
      </c>
      <c r="AC203" s="1">
        <v>0</v>
      </c>
      <c r="AD203" s="1">
        <v>27.74211</v>
      </c>
      <c r="AE203" s="1">
        <v>225.9</v>
      </c>
      <c r="AG203" s="1">
        <v>0</v>
      </c>
      <c r="AH203" s="1">
        <v>45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4.5149999999999997</v>
      </c>
      <c r="AP203" s="1">
        <v>0.6321</v>
      </c>
      <c r="AQ203" s="1">
        <v>226.31578999999999</v>
      </c>
      <c r="AR203" s="1">
        <v>226.31578999999999</v>
      </c>
      <c r="AS203" s="1">
        <v>56.578949999999999</v>
      </c>
      <c r="AT203" s="1">
        <v>7.9210529999999997</v>
      </c>
      <c r="AU203" s="1">
        <v>26.99</v>
      </c>
      <c r="AV203" s="2" t="s">
        <v>60</v>
      </c>
      <c r="AW203" s="1">
        <v>161.363</v>
      </c>
      <c r="AX203" s="1">
        <f>Table1[[#This Row],[Original Commissionable GMV]]-Table1[[#This Row],[Commission ]]-Table1[[#This Row],[Commission VAT]]-Table1[[#This Row],[FreeDeliveryFund]]</f>
        <v>134.82578699999999</v>
      </c>
      <c r="AY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M203" s="2"/>
    </row>
    <row r="204" spans="12:65" x14ac:dyDescent="0.25">
      <c r="L204" s="2">
        <v>504016</v>
      </c>
      <c r="M204" s="2" t="s">
        <v>52</v>
      </c>
      <c r="N204" s="2">
        <v>505839</v>
      </c>
      <c r="O204" t="s">
        <v>53</v>
      </c>
      <c r="P204">
        <v>3388201720</v>
      </c>
      <c r="Q204" s="5">
        <v>46030.662303240744</v>
      </c>
      <c r="R204" s="2" t="s">
        <v>54</v>
      </c>
      <c r="S204" s="2" t="s">
        <v>51</v>
      </c>
      <c r="T204" s="2" t="s">
        <v>55</v>
      </c>
      <c r="U204" s="2" t="s">
        <v>56</v>
      </c>
      <c r="V204" s="2" t="s">
        <v>57</v>
      </c>
      <c r="W204" s="2" t="s">
        <v>58</v>
      </c>
      <c r="X204" s="2" t="s">
        <v>59</v>
      </c>
      <c r="Y204" s="1">
        <v>969</v>
      </c>
      <c r="Z204" s="1">
        <v>969</v>
      </c>
      <c r="AA204" s="1">
        <v>31.99</v>
      </c>
      <c r="AB204" s="1">
        <v>29.99</v>
      </c>
      <c r="AC204" s="1">
        <v>0</v>
      </c>
      <c r="AD204" s="1">
        <v>126.61158</v>
      </c>
      <c r="AE204" s="1">
        <v>1030.98</v>
      </c>
      <c r="AF204" s="1">
        <v>1111.92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16.9575</v>
      </c>
      <c r="AP204" s="1">
        <v>2.37405</v>
      </c>
      <c r="AQ204" s="1">
        <v>921</v>
      </c>
      <c r="AR204" s="1">
        <v>921</v>
      </c>
      <c r="AS204" s="1">
        <v>230.25</v>
      </c>
      <c r="AT204" s="1">
        <v>32.234999999999999</v>
      </c>
      <c r="AU204" s="1">
        <v>0</v>
      </c>
      <c r="AV204" s="2" t="s">
        <v>69</v>
      </c>
      <c r="AW204" s="1">
        <v>687.18299999999999</v>
      </c>
      <c r="AX204" s="1">
        <f>Table1[[#This Row],[Original Commissionable GMV]]-Table1[[#This Row],[Commission ]]-Table1[[#This Row],[Commission VAT]]-Table1[[#This Row],[FreeDeliveryFund]]</f>
        <v>658.51499999999999</v>
      </c>
      <c r="AY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M204" s="2"/>
    </row>
    <row r="205" spans="12:65" x14ac:dyDescent="0.25">
      <c r="L205" s="2">
        <v>504016</v>
      </c>
      <c r="M205" s="2" t="s">
        <v>52</v>
      </c>
      <c r="N205" s="2">
        <v>505837</v>
      </c>
      <c r="O205" t="s">
        <v>53</v>
      </c>
      <c r="P205">
        <v>3388248891</v>
      </c>
      <c r="Q205" s="5">
        <v>46030.678877314815</v>
      </c>
      <c r="R205" s="2" t="s">
        <v>54</v>
      </c>
      <c r="S205" s="2" t="s">
        <v>51</v>
      </c>
      <c r="T205" s="2" t="s">
        <v>55</v>
      </c>
      <c r="U205" s="2" t="s">
        <v>56</v>
      </c>
      <c r="V205" s="2" t="s">
        <v>57</v>
      </c>
      <c r="W205" s="2" t="s">
        <v>58</v>
      </c>
      <c r="X205" s="2" t="s">
        <v>59</v>
      </c>
      <c r="Y205" s="1">
        <v>1025.6400000000001</v>
      </c>
      <c r="Z205" s="1">
        <v>1025.6400000000001</v>
      </c>
      <c r="AA205" s="1">
        <v>36.99</v>
      </c>
      <c r="AB205" s="1">
        <v>29.99</v>
      </c>
      <c r="AC205" s="1">
        <v>0</v>
      </c>
      <c r="AD205" s="1">
        <v>134.1814</v>
      </c>
      <c r="AE205" s="1">
        <v>1092.6199999999999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17.948699999999999</v>
      </c>
      <c r="AP205" s="1">
        <v>2.5128180000000002</v>
      </c>
      <c r="AQ205" s="1">
        <v>899.68421000000001</v>
      </c>
      <c r="AR205" s="1">
        <v>899.68421000000001</v>
      </c>
      <c r="AS205" s="1">
        <v>224.92105000000001</v>
      </c>
      <c r="AT205" s="1">
        <v>31.488947</v>
      </c>
      <c r="AU205" s="1">
        <v>0</v>
      </c>
      <c r="AV205" s="2" t="s">
        <v>69</v>
      </c>
      <c r="AW205" s="1">
        <v>748.76800000000003</v>
      </c>
      <c r="AX205" s="1">
        <f>Table1[[#This Row],[Original Commissionable GMV]]-Table1[[#This Row],[Commission ]]-Table1[[#This Row],[Commission VAT]]-Table1[[#This Row],[FreeDeliveryFund]]</f>
        <v>643.27421299999992</v>
      </c>
      <c r="AY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M205" s="2"/>
    </row>
    <row r="206" spans="12:65" x14ac:dyDescent="0.25">
      <c r="L206" s="2">
        <v>504016</v>
      </c>
      <c r="M206" s="2" t="s">
        <v>52</v>
      </c>
      <c r="N206" s="2">
        <v>505837</v>
      </c>
      <c r="O206" t="s">
        <v>65</v>
      </c>
      <c r="P206">
        <v>3388309194</v>
      </c>
      <c r="Q206" s="5">
        <v>46030.69835648148</v>
      </c>
      <c r="R206" s="2" t="s">
        <v>62</v>
      </c>
      <c r="S206" s="2" t="s">
        <v>51</v>
      </c>
      <c r="T206" s="2" t="s">
        <v>55</v>
      </c>
      <c r="U206" s="2" t="s">
        <v>59</v>
      </c>
      <c r="V206" s="2" t="s">
        <v>57</v>
      </c>
      <c r="W206" s="2" t="s">
        <v>58</v>
      </c>
      <c r="X206" s="2" t="s">
        <v>59</v>
      </c>
      <c r="Y206" s="1">
        <v>352.99</v>
      </c>
      <c r="Z206" s="1">
        <v>352.99</v>
      </c>
      <c r="AA206" s="1">
        <v>0</v>
      </c>
      <c r="AB206" s="1">
        <v>17.649999999999999</v>
      </c>
      <c r="AC206" s="1">
        <v>0</v>
      </c>
      <c r="AD206" s="1">
        <v>45.517189999999999</v>
      </c>
      <c r="AE206" s="1">
        <v>370.64</v>
      </c>
      <c r="AG206" s="1">
        <v>0</v>
      </c>
      <c r="AH206" s="1">
        <v>0</v>
      </c>
      <c r="AI206" s="1">
        <v>132.24</v>
      </c>
      <c r="AJ206" s="1">
        <v>0</v>
      </c>
      <c r="AK206" s="1">
        <v>132.24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309.64035000000001</v>
      </c>
      <c r="AR206" s="1">
        <v>309.64035000000001</v>
      </c>
      <c r="AS206" s="1">
        <v>77.410089999999997</v>
      </c>
      <c r="AT206" s="1">
        <v>10.8374126</v>
      </c>
      <c r="AU206" s="1">
        <v>28.99</v>
      </c>
      <c r="AV206" s="2" t="s">
        <v>60</v>
      </c>
      <c r="AW206" s="1">
        <v>235.75200000000001</v>
      </c>
      <c r="AX206" s="1">
        <f>Table1[[#This Row],[Original Commissionable GMV]]-Table1[[#This Row],[Commission ]]-Table1[[#This Row],[Commission VAT]]-Table1[[#This Row],[FreeDeliveryFund]]</f>
        <v>192.40284740000001</v>
      </c>
      <c r="AY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M206" s="2"/>
    </row>
    <row r="207" spans="12:65" x14ac:dyDescent="0.25">
      <c r="L207" s="2">
        <v>504016</v>
      </c>
      <c r="M207" s="2" t="s">
        <v>52</v>
      </c>
      <c r="N207" s="2">
        <v>505835</v>
      </c>
      <c r="O207" t="s">
        <v>63</v>
      </c>
      <c r="P207">
        <v>3388332944</v>
      </c>
      <c r="Q207" s="5">
        <v>46030.705706018518</v>
      </c>
      <c r="R207" s="2" t="s">
        <v>54</v>
      </c>
      <c r="S207" s="2" t="s">
        <v>51</v>
      </c>
      <c r="T207" s="2" t="s">
        <v>55</v>
      </c>
      <c r="U207" s="2" t="s">
        <v>59</v>
      </c>
      <c r="V207" s="2" t="s">
        <v>57</v>
      </c>
      <c r="W207" s="2" t="s">
        <v>58</v>
      </c>
      <c r="X207" s="2" t="s">
        <v>59</v>
      </c>
      <c r="Y207" s="1">
        <v>255.98</v>
      </c>
      <c r="Z207" s="1">
        <v>255.98</v>
      </c>
      <c r="AA207" s="1">
        <v>7</v>
      </c>
      <c r="AB207" s="1">
        <v>12.8</v>
      </c>
      <c r="AC207" s="1">
        <v>0</v>
      </c>
      <c r="AD207" s="1">
        <v>33.867719999999998</v>
      </c>
      <c r="AE207" s="1">
        <v>275.77999999999997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4.4796500000000004</v>
      </c>
      <c r="AP207" s="1">
        <v>0.62715100000000001</v>
      </c>
      <c r="AQ207" s="1">
        <v>224.54386</v>
      </c>
      <c r="AR207" s="1">
        <v>224.54386</v>
      </c>
      <c r="AS207" s="1">
        <v>56.13597</v>
      </c>
      <c r="AT207" s="1">
        <v>7.8590358</v>
      </c>
      <c r="AU207" s="1">
        <v>29.99</v>
      </c>
      <c r="AV207" s="2" t="s">
        <v>60</v>
      </c>
      <c r="AW207" s="1">
        <v>156.88800000000001</v>
      </c>
      <c r="AX207" s="1">
        <f>Table1[[#This Row],[Original Commissionable GMV]]-Table1[[#This Row],[Commission ]]-Table1[[#This Row],[Commission VAT]]-Table1[[#This Row],[FreeDeliveryFund]]</f>
        <v>130.55885420000001</v>
      </c>
      <c r="AY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M207" s="2"/>
    </row>
    <row r="208" spans="12:65" x14ac:dyDescent="0.25">
      <c r="L208" s="2">
        <v>504016</v>
      </c>
      <c r="M208" s="2" t="s">
        <v>52</v>
      </c>
      <c r="N208" s="2">
        <v>505839</v>
      </c>
      <c r="O208" t="s">
        <v>63</v>
      </c>
      <c r="P208">
        <v>3388387458</v>
      </c>
      <c r="Q208" s="5">
        <v>46030.72246527778</v>
      </c>
      <c r="R208" s="2" t="s">
        <v>54</v>
      </c>
      <c r="S208" s="2" t="s">
        <v>51</v>
      </c>
      <c r="T208" s="2" t="s">
        <v>55</v>
      </c>
      <c r="U208" s="2" t="s">
        <v>59</v>
      </c>
      <c r="V208" s="2" t="s">
        <v>57</v>
      </c>
      <c r="W208" s="2" t="s">
        <v>58</v>
      </c>
      <c r="X208" s="2" t="s">
        <v>59</v>
      </c>
      <c r="Y208" s="1">
        <v>352</v>
      </c>
      <c r="Z208" s="1">
        <v>352</v>
      </c>
      <c r="AA208" s="1">
        <v>0</v>
      </c>
      <c r="AB208" s="1">
        <v>17.600000000000001</v>
      </c>
      <c r="AC208" s="1">
        <v>0</v>
      </c>
      <c r="AD208" s="1">
        <v>45.389470000000003</v>
      </c>
      <c r="AE208" s="1">
        <v>369.6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6.16</v>
      </c>
      <c r="AP208" s="1">
        <v>0.86240000000000006</v>
      </c>
      <c r="AQ208" s="1">
        <v>308.77193</v>
      </c>
      <c r="AR208" s="1">
        <v>308.77193</v>
      </c>
      <c r="AS208" s="1">
        <v>77.192980000000006</v>
      </c>
      <c r="AT208" s="1">
        <v>10.807017200000001</v>
      </c>
      <c r="AU208" s="1">
        <v>29.99</v>
      </c>
      <c r="AV208" s="2" t="s">
        <v>60</v>
      </c>
      <c r="AW208" s="1">
        <v>226.988</v>
      </c>
      <c r="AX208" s="1">
        <f>Table1[[#This Row],[Original Commissionable GMV]]-Table1[[#This Row],[Commission ]]-Table1[[#This Row],[Commission VAT]]-Table1[[#This Row],[FreeDeliveryFund]]</f>
        <v>190.78193279999999</v>
      </c>
      <c r="AY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M208" s="2"/>
    </row>
    <row r="209" spans="12:65" x14ac:dyDescent="0.25">
      <c r="L209" s="2">
        <v>504016</v>
      </c>
      <c r="M209" s="2" t="s">
        <v>52</v>
      </c>
      <c r="N209" s="2">
        <v>505839</v>
      </c>
      <c r="O209" t="s">
        <v>53</v>
      </c>
      <c r="P209">
        <v>3388421710</v>
      </c>
      <c r="Q209" s="5">
        <v>46030.732743055552</v>
      </c>
      <c r="R209" s="2" t="s">
        <v>62</v>
      </c>
      <c r="S209" s="2" t="s">
        <v>51</v>
      </c>
      <c r="T209" s="2" t="s">
        <v>55</v>
      </c>
      <c r="U209" s="2" t="s">
        <v>56</v>
      </c>
      <c r="V209" s="2" t="s">
        <v>57</v>
      </c>
      <c r="W209" s="2" t="s">
        <v>58</v>
      </c>
      <c r="X209" s="2" t="s">
        <v>59</v>
      </c>
      <c r="Y209" s="1">
        <v>554.98</v>
      </c>
      <c r="Z209" s="1">
        <v>554.98</v>
      </c>
      <c r="AA209" s="1">
        <v>33.99</v>
      </c>
      <c r="AB209" s="1">
        <v>27.75</v>
      </c>
      <c r="AC209" s="1">
        <v>0</v>
      </c>
      <c r="AD209" s="1">
        <v>75.737539999999996</v>
      </c>
      <c r="AE209" s="1">
        <v>616.72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486.82456000000002</v>
      </c>
      <c r="AR209" s="1">
        <v>486.82456000000002</v>
      </c>
      <c r="AS209" s="1">
        <v>121.70614</v>
      </c>
      <c r="AT209" s="1">
        <v>17.038859599999999</v>
      </c>
      <c r="AU209" s="1">
        <v>0</v>
      </c>
      <c r="AV209" s="2" t="s">
        <v>69</v>
      </c>
      <c r="AW209" s="1">
        <v>416.23500000000001</v>
      </c>
      <c r="AX209" s="1">
        <f>Table1[[#This Row],[Original Commissionable GMV]]-Table1[[#This Row],[Commission ]]-Table1[[#This Row],[Commission VAT]]-Table1[[#This Row],[FreeDeliveryFund]]</f>
        <v>348.07956039999999</v>
      </c>
      <c r="AY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M209" s="2"/>
    </row>
    <row r="210" spans="12:65" x14ac:dyDescent="0.25">
      <c r="L210" s="2">
        <v>504016</v>
      </c>
      <c r="M210" s="2" t="s">
        <v>52</v>
      </c>
      <c r="N210" s="2">
        <v>505837</v>
      </c>
      <c r="O210" t="s">
        <v>53</v>
      </c>
      <c r="P210">
        <v>3388444086</v>
      </c>
      <c r="Q210" s="5">
        <v>46030.739479166667</v>
      </c>
      <c r="R210" s="2" t="s">
        <v>54</v>
      </c>
      <c r="S210" s="2" t="s">
        <v>51</v>
      </c>
      <c r="T210" s="2" t="s">
        <v>55</v>
      </c>
      <c r="U210" s="2" t="s">
        <v>56</v>
      </c>
      <c r="V210" s="2" t="s">
        <v>57</v>
      </c>
      <c r="W210" s="2" t="s">
        <v>58</v>
      </c>
      <c r="X210" s="2" t="s">
        <v>59</v>
      </c>
      <c r="Y210" s="1">
        <v>765.66</v>
      </c>
      <c r="Z210" s="1">
        <v>765.66</v>
      </c>
      <c r="AA210" s="1">
        <v>0</v>
      </c>
      <c r="AB210" s="1">
        <v>29.99</v>
      </c>
      <c r="AC210" s="1">
        <v>0</v>
      </c>
      <c r="AD210" s="1">
        <v>97.711399999999998</v>
      </c>
      <c r="AE210" s="1">
        <v>795.65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13.399050000000001</v>
      </c>
      <c r="AP210" s="1">
        <v>1.875867</v>
      </c>
      <c r="AQ210" s="1">
        <v>671.63157999999999</v>
      </c>
      <c r="AR210" s="1">
        <v>671.63157999999999</v>
      </c>
      <c r="AS210" s="1">
        <v>167.90790000000001</v>
      </c>
      <c r="AT210" s="1">
        <v>23.507106</v>
      </c>
      <c r="AU210" s="1">
        <v>30.99</v>
      </c>
      <c r="AV210" s="2" t="s">
        <v>60</v>
      </c>
      <c r="AW210" s="1">
        <v>527.98</v>
      </c>
      <c r="AX210" s="1">
        <f>Table1[[#This Row],[Original Commissionable GMV]]-Table1[[#This Row],[Commission ]]-Table1[[#This Row],[Commission VAT]]-Table1[[#This Row],[FreeDeliveryFund]]</f>
        <v>449.22657399999991</v>
      </c>
      <c r="AY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M210" s="2"/>
    </row>
    <row r="211" spans="12:65" x14ac:dyDescent="0.25">
      <c r="L211" s="2">
        <v>504016</v>
      </c>
      <c r="M211" s="2" t="s">
        <v>52</v>
      </c>
      <c r="N211" s="2">
        <v>505839</v>
      </c>
      <c r="O211" t="s">
        <v>53</v>
      </c>
      <c r="P211">
        <v>3388444869</v>
      </c>
      <c r="Q211" s="5">
        <v>46030.739722222221</v>
      </c>
      <c r="R211" s="2" t="s">
        <v>54</v>
      </c>
      <c r="S211" s="2" t="s">
        <v>51</v>
      </c>
      <c r="T211" s="2" t="s">
        <v>55</v>
      </c>
      <c r="U211" s="2" t="s">
        <v>56</v>
      </c>
      <c r="V211" s="2" t="s">
        <v>57</v>
      </c>
      <c r="W211" s="2" t="s">
        <v>58</v>
      </c>
      <c r="X211" s="2" t="s">
        <v>59</v>
      </c>
      <c r="Y211" s="1">
        <v>445.99</v>
      </c>
      <c r="Z211" s="1">
        <v>445.99</v>
      </c>
      <c r="AA211" s="1">
        <v>0</v>
      </c>
      <c r="AB211" s="1">
        <v>22.3</v>
      </c>
      <c r="AC211" s="1">
        <v>0</v>
      </c>
      <c r="AD211" s="1">
        <v>57.509300000000003</v>
      </c>
      <c r="AE211" s="1">
        <v>468.29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7.8048250000000001</v>
      </c>
      <c r="AP211" s="1">
        <v>1.0926754999999999</v>
      </c>
      <c r="AQ211" s="1">
        <v>391.21929999999998</v>
      </c>
      <c r="AR211" s="1">
        <v>391.21929999999998</v>
      </c>
      <c r="AS211" s="1">
        <v>97.804829999999995</v>
      </c>
      <c r="AT211" s="1">
        <v>13.692676199999999</v>
      </c>
      <c r="AU211" s="1">
        <v>32.99</v>
      </c>
      <c r="AV211" s="2" t="s">
        <v>60</v>
      </c>
      <c r="AW211" s="1">
        <v>292.60500000000002</v>
      </c>
      <c r="AX211" s="1">
        <f>Table1[[#This Row],[Original Commissionable GMV]]-Table1[[#This Row],[Commission ]]-Table1[[#This Row],[Commission VAT]]-Table1[[#This Row],[FreeDeliveryFund]]</f>
        <v>246.73179379999999</v>
      </c>
      <c r="AY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M211" s="2"/>
    </row>
    <row r="212" spans="12:65" x14ac:dyDescent="0.25">
      <c r="L212" s="2">
        <v>504016</v>
      </c>
      <c r="M212" s="2" t="s">
        <v>52</v>
      </c>
      <c r="N212" s="2">
        <v>505839</v>
      </c>
      <c r="O212" t="s">
        <v>53</v>
      </c>
      <c r="P212">
        <v>3388450058</v>
      </c>
      <c r="Q212" s="5">
        <v>46030.741249999999</v>
      </c>
      <c r="R212" s="2" t="s">
        <v>54</v>
      </c>
      <c r="S212" s="2" t="s">
        <v>51</v>
      </c>
      <c r="T212" s="2" t="s">
        <v>55</v>
      </c>
      <c r="U212" s="2" t="s">
        <v>59</v>
      </c>
      <c r="V212" s="2" t="s">
        <v>57</v>
      </c>
      <c r="W212" s="2" t="s">
        <v>58</v>
      </c>
      <c r="X212" s="2" t="s">
        <v>59</v>
      </c>
      <c r="Y212" s="1">
        <v>353.99</v>
      </c>
      <c r="Z212" s="1">
        <v>353.99</v>
      </c>
      <c r="AA212" s="1">
        <v>40.99</v>
      </c>
      <c r="AB212" s="1">
        <v>17.7</v>
      </c>
      <c r="AC212" s="1">
        <v>0</v>
      </c>
      <c r="AD212" s="1">
        <v>50.68</v>
      </c>
      <c r="AE212" s="1">
        <v>412.68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6.1948249999999998</v>
      </c>
      <c r="AP212" s="1">
        <v>0.86727549999999998</v>
      </c>
      <c r="AQ212" s="1">
        <v>310.51754</v>
      </c>
      <c r="AR212" s="1">
        <v>310.51754</v>
      </c>
      <c r="AS212" s="1">
        <v>77.629390000000001</v>
      </c>
      <c r="AT212" s="1">
        <v>10.8681146</v>
      </c>
      <c r="AU212" s="1">
        <v>0</v>
      </c>
      <c r="AV212" s="2" t="s">
        <v>69</v>
      </c>
      <c r="AW212" s="1">
        <v>258.43</v>
      </c>
      <c r="AX212" s="1">
        <f>Table1[[#This Row],[Original Commissionable GMV]]-Table1[[#This Row],[Commission ]]-Table1[[#This Row],[Commission VAT]]-Table1[[#This Row],[FreeDeliveryFund]]</f>
        <v>222.02003539999998</v>
      </c>
      <c r="AY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M212" s="2"/>
    </row>
    <row r="213" spans="12:65" x14ac:dyDescent="0.25">
      <c r="L213" s="2">
        <v>504016</v>
      </c>
      <c r="M213" s="2" t="s">
        <v>52</v>
      </c>
      <c r="N213" s="2">
        <v>505837</v>
      </c>
      <c r="O213" t="s">
        <v>53</v>
      </c>
      <c r="P213">
        <v>3388486060</v>
      </c>
      <c r="Q213" s="5">
        <v>46030.751759259256</v>
      </c>
      <c r="R213" s="2" t="s">
        <v>54</v>
      </c>
      <c r="S213" s="2" t="s">
        <v>51</v>
      </c>
      <c r="T213" s="2" t="s">
        <v>55</v>
      </c>
      <c r="U213" s="2" t="s">
        <v>56</v>
      </c>
      <c r="V213" s="2" t="s">
        <v>57</v>
      </c>
      <c r="W213" s="2" t="s">
        <v>58</v>
      </c>
      <c r="X213" s="2" t="s">
        <v>59</v>
      </c>
      <c r="Y213" s="1">
        <v>399.98</v>
      </c>
      <c r="Z213" s="1">
        <v>399.98</v>
      </c>
      <c r="AA213" s="1">
        <v>0</v>
      </c>
      <c r="AB213" s="1">
        <v>20</v>
      </c>
      <c r="AC213" s="1">
        <v>0</v>
      </c>
      <c r="AD213" s="1">
        <v>51.57649</v>
      </c>
      <c r="AE213" s="1">
        <v>419.98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6.9996499999999999</v>
      </c>
      <c r="AP213" s="1">
        <v>0.97995100000000002</v>
      </c>
      <c r="AQ213" s="1">
        <v>350.85964999999999</v>
      </c>
      <c r="AR213" s="1">
        <v>350.85964999999999</v>
      </c>
      <c r="AS213" s="1">
        <v>87.714910000000003</v>
      </c>
      <c r="AT213" s="1">
        <v>12.280087399999999</v>
      </c>
      <c r="AU213" s="1">
        <v>32.99</v>
      </c>
      <c r="AV213" s="2" t="s">
        <v>60</v>
      </c>
      <c r="AW213" s="1">
        <v>259.01499999999999</v>
      </c>
      <c r="AX213" s="1">
        <f>Table1[[#This Row],[Original Commissionable GMV]]-Table1[[#This Row],[Commission ]]-Table1[[#This Row],[Commission VAT]]-Table1[[#This Row],[FreeDeliveryFund]]</f>
        <v>217.87465259999993</v>
      </c>
      <c r="AY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M213" s="2"/>
    </row>
    <row r="214" spans="12:65" x14ac:dyDescent="0.25">
      <c r="L214" s="2">
        <v>504016</v>
      </c>
      <c r="M214" s="2" t="s">
        <v>52</v>
      </c>
      <c r="N214" s="2">
        <v>505837</v>
      </c>
      <c r="O214" t="s">
        <v>53</v>
      </c>
      <c r="P214">
        <v>3388507638</v>
      </c>
      <c r="Q214" s="5">
        <v>46030.758020833331</v>
      </c>
      <c r="R214" s="2" t="s">
        <v>54</v>
      </c>
      <c r="S214" s="2" t="s">
        <v>51</v>
      </c>
      <c r="T214" s="2" t="s">
        <v>55</v>
      </c>
      <c r="U214" s="2" t="s">
        <v>56</v>
      </c>
      <c r="V214" s="2" t="s">
        <v>57</v>
      </c>
      <c r="W214" s="2" t="s">
        <v>58</v>
      </c>
      <c r="X214" s="2" t="s">
        <v>59</v>
      </c>
      <c r="Y214" s="1">
        <v>1043.6500000000001</v>
      </c>
      <c r="Z214" s="1">
        <v>1043.6500000000001</v>
      </c>
      <c r="AA214" s="1">
        <v>0</v>
      </c>
      <c r="AB214" s="1">
        <v>29.99</v>
      </c>
      <c r="AC214" s="1">
        <v>0</v>
      </c>
      <c r="AD214" s="1">
        <v>131.85052999999999</v>
      </c>
      <c r="AE214" s="1">
        <v>1073.6400000000001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18.263874999999999</v>
      </c>
      <c r="AP214" s="1">
        <v>2.5569424999999999</v>
      </c>
      <c r="AQ214" s="1">
        <v>915.48245999999995</v>
      </c>
      <c r="AR214" s="1">
        <v>915.48245999999995</v>
      </c>
      <c r="AS214" s="1">
        <v>228.87062</v>
      </c>
      <c r="AT214" s="1">
        <v>32.0418868</v>
      </c>
      <c r="AU214" s="1">
        <v>34.99</v>
      </c>
      <c r="AV214" s="2" t="s">
        <v>60</v>
      </c>
      <c r="AW214" s="1">
        <v>726.92700000000002</v>
      </c>
      <c r="AX214" s="1">
        <f>Table1[[#This Row],[Original Commissionable GMV]]-Table1[[#This Row],[Commission ]]-Table1[[#This Row],[Commission VAT]]-Table1[[#This Row],[FreeDeliveryFund]]</f>
        <v>619.57995319999986</v>
      </c>
      <c r="AY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M214" s="2"/>
    </row>
    <row r="215" spans="12:65" x14ac:dyDescent="0.25">
      <c r="L215" s="2">
        <v>504016</v>
      </c>
      <c r="M215" s="2" t="s">
        <v>52</v>
      </c>
      <c r="N215" s="2">
        <v>505839</v>
      </c>
      <c r="O215" t="s">
        <v>53</v>
      </c>
      <c r="P215">
        <v>3388643402</v>
      </c>
      <c r="Q215" s="5">
        <v>46030.797337962962</v>
      </c>
      <c r="R215" s="2" t="s">
        <v>54</v>
      </c>
      <c r="S215" s="2" t="s">
        <v>51</v>
      </c>
      <c r="T215" s="2" t="s">
        <v>55</v>
      </c>
      <c r="U215" s="2" t="s">
        <v>59</v>
      </c>
      <c r="V215" s="2" t="s">
        <v>57</v>
      </c>
      <c r="W215" s="2" t="s">
        <v>58</v>
      </c>
      <c r="X215" s="2" t="s">
        <v>59</v>
      </c>
      <c r="Y215" s="1">
        <v>454.99</v>
      </c>
      <c r="Z215" s="1">
        <v>454.99</v>
      </c>
      <c r="AA215" s="1">
        <v>9</v>
      </c>
      <c r="AB215" s="1">
        <v>22.75</v>
      </c>
      <c r="AC215" s="1">
        <v>0</v>
      </c>
      <c r="AD215" s="1">
        <v>59.775089999999999</v>
      </c>
      <c r="AE215" s="1">
        <v>486.74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7.9623249999999999</v>
      </c>
      <c r="AP215" s="1">
        <v>1.1147255</v>
      </c>
      <c r="AQ215" s="1">
        <v>399.11403999999999</v>
      </c>
      <c r="AR215" s="1">
        <v>399.11403999999999</v>
      </c>
      <c r="AS215" s="1">
        <v>99.778509999999997</v>
      </c>
      <c r="AT215" s="1">
        <v>13.9689914</v>
      </c>
      <c r="AU215" s="1">
        <v>33.99</v>
      </c>
      <c r="AV215" s="2" t="s">
        <v>60</v>
      </c>
      <c r="AW215" s="1">
        <v>298.17500000000001</v>
      </c>
      <c r="AX215" s="1">
        <f>Table1[[#This Row],[Original Commissionable GMV]]-Table1[[#This Row],[Commission ]]-Table1[[#This Row],[Commission VAT]]-Table1[[#This Row],[FreeDeliveryFund]]</f>
        <v>251.3765386</v>
      </c>
      <c r="AY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M215" s="2"/>
    </row>
    <row r="216" spans="12:65" x14ac:dyDescent="0.25">
      <c r="L216" s="2">
        <v>504016</v>
      </c>
      <c r="M216" s="2" t="s">
        <v>52</v>
      </c>
      <c r="N216" s="2">
        <v>505835</v>
      </c>
      <c r="O216" t="s">
        <v>63</v>
      </c>
      <c r="P216">
        <v>3388648191</v>
      </c>
      <c r="Q216" s="5">
        <v>46030.798761574071</v>
      </c>
      <c r="R216" s="2" t="s">
        <v>54</v>
      </c>
      <c r="S216" s="2" t="s">
        <v>51</v>
      </c>
      <c r="T216" s="2" t="s">
        <v>55</v>
      </c>
      <c r="U216" s="2" t="s">
        <v>56</v>
      </c>
      <c r="V216" s="2" t="s">
        <v>57</v>
      </c>
      <c r="W216" s="2" t="s">
        <v>58</v>
      </c>
      <c r="X216" s="2" t="s">
        <v>59</v>
      </c>
      <c r="Y216" s="1">
        <v>389.99</v>
      </c>
      <c r="Z216" s="1">
        <v>389.99</v>
      </c>
      <c r="AA216" s="1">
        <v>7</v>
      </c>
      <c r="AB216" s="1">
        <v>19.5</v>
      </c>
      <c r="AC216" s="1">
        <v>0</v>
      </c>
      <c r="AD216" s="1">
        <v>51.147889999999997</v>
      </c>
      <c r="AE216" s="1">
        <v>416.49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6.8248249999999997</v>
      </c>
      <c r="AP216" s="1">
        <v>0.95547550000000003</v>
      </c>
      <c r="AQ216" s="1">
        <v>342.09649000000002</v>
      </c>
      <c r="AR216" s="1">
        <v>342.09649000000002</v>
      </c>
      <c r="AS216" s="1">
        <v>85.524119999999996</v>
      </c>
      <c r="AT216" s="1">
        <v>11.9733768</v>
      </c>
      <c r="AU216" s="1">
        <v>26.99</v>
      </c>
      <c r="AV216" s="2" t="s">
        <v>60</v>
      </c>
      <c r="AW216" s="1">
        <v>257.72199999999998</v>
      </c>
      <c r="AX216" s="1">
        <f>Table1[[#This Row],[Original Commissionable GMV]]-Table1[[#This Row],[Commission ]]-Table1[[#This Row],[Commission VAT]]-Table1[[#This Row],[FreeDeliveryFund]]</f>
        <v>217.60899320000001</v>
      </c>
      <c r="AY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M216" s="2"/>
    </row>
    <row r="217" spans="12:65" x14ac:dyDescent="0.25">
      <c r="L217" s="2">
        <v>504016</v>
      </c>
      <c r="M217" s="2" t="s">
        <v>52</v>
      </c>
      <c r="N217" s="2">
        <v>505837</v>
      </c>
      <c r="O217" t="s">
        <v>53</v>
      </c>
      <c r="P217">
        <v>3388699837</v>
      </c>
      <c r="Q217" s="5">
        <v>46030.813680555555</v>
      </c>
      <c r="R217" s="2" t="s">
        <v>62</v>
      </c>
      <c r="S217" s="2" t="s">
        <v>51</v>
      </c>
      <c r="T217" s="2" t="s">
        <v>55</v>
      </c>
      <c r="U217" s="2" t="s">
        <v>59</v>
      </c>
      <c r="V217" s="2" t="s">
        <v>57</v>
      </c>
      <c r="W217" s="2" t="s">
        <v>58</v>
      </c>
      <c r="X217" s="2" t="s">
        <v>59</v>
      </c>
      <c r="Y217" s="1">
        <v>2294.4699999999998</v>
      </c>
      <c r="Z217" s="1">
        <v>2294.4699999999998</v>
      </c>
      <c r="AA217" s="1">
        <v>32.99</v>
      </c>
      <c r="AB217" s="1">
        <v>29.99</v>
      </c>
      <c r="AC217" s="1">
        <v>0</v>
      </c>
      <c r="AD217" s="1">
        <v>289.51139999999998</v>
      </c>
      <c r="AE217" s="1">
        <v>2357.4499999999998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2012.69298</v>
      </c>
      <c r="AR217" s="1">
        <v>2012.69298</v>
      </c>
      <c r="AS217" s="1">
        <v>503.17325</v>
      </c>
      <c r="AT217" s="1">
        <v>70.444254999999998</v>
      </c>
      <c r="AU217" s="1">
        <v>0</v>
      </c>
      <c r="AV217" s="2" t="s">
        <v>69</v>
      </c>
      <c r="AW217" s="1">
        <v>1720.8520000000001</v>
      </c>
      <c r="AX217" s="1">
        <f>Table1[[#This Row],[Original Commissionable GMV]]-Table1[[#This Row],[Commission ]]-Table1[[#This Row],[Commission VAT]]-Table1[[#This Row],[FreeDeliveryFund]]</f>
        <v>1439.0754750000001</v>
      </c>
      <c r="AY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M217" s="2"/>
    </row>
    <row r="218" spans="12:65" x14ac:dyDescent="0.25">
      <c r="L218" s="2">
        <v>504016</v>
      </c>
      <c r="M218" s="2" t="s">
        <v>52</v>
      </c>
      <c r="N218" s="2">
        <v>505837</v>
      </c>
      <c r="O218" t="s">
        <v>53</v>
      </c>
      <c r="P218">
        <v>3388804640</v>
      </c>
      <c r="Q218" s="5">
        <v>46030.845625000002</v>
      </c>
      <c r="R218" s="2" t="s">
        <v>54</v>
      </c>
      <c r="S218" s="2" t="s">
        <v>51</v>
      </c>
      <c r="T218" s="2" t="s">
        <v>55</v>
      </c>
      <c r="U218" s="2" t="s">
        <v>56</v>
      </c>
      <c r="V218" s="2" t="s">
        <v>57</v>
      </c>
      <c r="W218" s="2" t="s">
        <v>58</v>
      </c>
      <c r="X218" s="2" t="s">
        <v>59</v>
      </c>
      <c r="Y218" s="1">
        <v>1247.97</v>
      </c>
      <c r="Z218" s="1">
        <v>1247.97</v>
      </c>
      <c r="AA218" s="1">
        <v>0</v>
      </c>
      <c r="AB218" s="1">
        <v>29.99</v>
      </c>
      <c r="AC218" s="1">
        <v>0</v>
      </c>
      <c r="AD218" s="1">
        <v>156.94246000000001</v>
      </c>
      <c r="AE218" s="1">
        <v>1277.96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30</v>
      </c>
      <c r="AN218" s="1">
        <v>4.2</v>
      </c>
      <c r="AO218" s="1">
        <v>21.839475</v>
      </c>
      <c r="AP218" s="1">
        <v>3.0575264999999998</v>
      </c>
      <c r="AQ218" s="1">
        <v>1094.7105300000001</v>
      </c>
      <c r="AR218" s="1">
        <v>1094.7105300000001</v>
      </c>
      <c r="AS218" s="1">
        <v>273.67763000000002</v>
      </c>
      <c r="AT218" s="1">
        <v>38.314868199999999</v>
      </c>
      <c r="AU218" s="1">
        <v>32.99</v>
      </c>
      <c r="AV218" s="2" t="s">
        <v>60</v>
      </c>
      <c r="AW218" s="1">
        <v>843.89099999999996</v>
      </c>
      <c r="AX218" s="1">
        <f>Table1[[#This Row],[Original Commissionable GMV]]-Table1[[#This Row],[Commission ]]-Table1[[#This Row],[Commission VAT]]-Table1[[#This Row],[FreeDeliveryFund]]</f>
        <v>749.72803180000005</v>
      </c>
      <c r="AY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M218" s="2"/>
    </row>
    <row r="219" spans="12:65" x14ac:dyDescent="0.25">
      <c r="L219" s="2">
        <v>504016</v>
      </c>
      <c r="M219" s="2" t="s">
        <v>52</v>
      </c>
      <c r="N219" s="2">
        <v>505837</v>
      </c>
      <c r="O219" t="s">
        <v>65</v>
      </c>
      <c r="P219">
        <v>3388812330</v>
      </c>
      <c r="Q219" s="5">
        <v>46030.848067129627</v>
      </c>
      <c r="R219" s="2" t="s">
        <v>62</v>
      </c>
      <c r="S219" s="2" t="s">
        <v>51</v>
      </c>
      <c r="T219" s="2" t="s">
        <v>55</v>
      </c>
      <c r="U219" s="2" t="s">
        <v>59</v>
      </c>
      <c r="V219" s="2" t="s">
        <v>57</v>
      </c>
      <c r="W219" s="2" t="s">
        <v>58</v>
      </c>
      <c r="X219" s="2" t="s">
        <v>59</v>
      </c>
      <c r="Y219" s="1">
        <v>461.95</v>
      </c>
      <c r="Z219" s="1">
        <v>461.95</v>
      </c>
      <c r="AA219" s="1">
        <v>36.99</v>
      </c>
      <c r="AB219" s="1">
        <v>23.1</v>
      </c>
      <c r="AC219" s="1">
        <v>0</v>
      </c>
      <c r="AD219" s="1">
        <v>64.11018</v>
      </c>
      <c r="AE219" s="1">
        <v>522.04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405.21929999999998</v>
      </c>
      <c r="AR219" s="1">
        <v>405.21929999999998</v>
      </c>
      <c r="AS219" s="1">
        <v>101.30483</v>
      </c>
      <c r="AT219" s="1">
        <v>14.1826762</v>
      </c>
      <c r="AU219" s="1">
        <v>0</v>
      </c>
      <c r="AV219" s="2" t="s">
        <v>69</v>
      </c>
      <c r="AW219" s="1">
        <v>346.46199999999999</v>
      </c>
      <c r="AX219" s="1">
        <f>Table1[[#This Row],[Original Commissionable GMV]]-Table1[[#This Row],[Commission ]]-Table1[[#This Row],[Commission VAT]]-Table1[[#This Row],[FreeDeliveryFund]]</f>
        <v>289.73179379999999</v>
      </c>
      <c r="AY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M219" s="2"/>
    </row>
    <row r="220" spans="12:65" x14ac:dyDescent="0.25">
      <c r="L220" s="2">
        <v>504016</v>
      </c>
      <c r="M220" s="2" t="s">
        <v>52</v>
      </c>
      <c r="N220" s="2">
        <v>505837</v>
      </c>
      <c r="O220" t="s">
        <v>53</v>
      </c>
      <c r="P220">
        <v>3388897262</v>
      </c>
      <c r="Q220" s="5">
        <v>46030.875983796293</v>
      </c>
      <c r="R220" s="2" t="s">
        <v>66</v>
      </c>
      <c r="S220" s="2" t="s">
        <v>51</v>
      </c>
      <c r="T220" s="2" t="s">
        <v>55</v>
      </c>
      <c r="U220" s="2" t="s">
        <v>59</v>
      </c>
      <c r="V220" s="2" t="s">
        <v>57</v>
      </c>
      <c r="W220" s="2" t="s">
        <v>58</v>
      </c>
      <c r="X220" s="2" t="s">
        <v>59</v>
      </c>
      <c r="Y220" s="1">
        <v>419.98</v>
      </c>
      <c r="Z220" s="1">
        <v>419.98</v>
      </c>
      <c r="AA220" s="1">
        <v>0</v>
      </c>
      <c r="AB220" s="1">
        <v>21</v>
      </c>
      <c r="AC220" s="1">
        <v>0</v>
      </c>
      <c r="AD220" s="1">
        <v>54.155439999999999</v>
      </c>
      <c r="AE220" s="1">
        <v>440.98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7.3496499999999996</v>
      </c>
      <c r="AP220" s="1">
        <v>1.0289509999999999</v>
      </c>
      <c r="AQ220" s="1">
        <v>368.40350999999998</v>
      </c>
      <c r="AR220" s="1">
        <v>368.40350999999998</v>
      </c>
      <c r="AS220" s="1">
        <v>92.100880000000004</v>
      </c>
      <c r="AT220" s="1">
        <v>12.894123199999999</v>
      </c>
      <c r="AU220" s="1">
        <v>31.99</v>
      </c>
      <c r="AV220" s="2" t="s">
        <v>60</v>
      </c>
      <c r="AW220" s="1">
        <v>274.61599999999999</v>
      </c>
      <c r="AX220" s="1">
        <f>Table1[[#This Row],[Original Commissionable GMV]]-Table1[[#This Row],[Commission ]]-Table1[[#This Row],[Commission VAT]]-Table1[[#This Row],[FreeDeliveryFund]]</f>
        <v>231.41850679999993</v>
      </c>
      <c r="AY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M220" s="2"/>
    </row>
    <row r="221" spans="12:65" x14ac:dyDescent="0.25">
      <c r="L221" s="2">
        <v>504016</v>
      </c>
      <c r="M221" s="2" t="s">
        <v>52</v>
      </c>
      <c r="N221" s="2">
        <v>505837</v>
      </c>
      <c r="O221" t="s">
        <v>63</v>
      </c>
      <c r="P221">
        <v>3388898541</v>
      </c>
      <c r="Q221" s="5">
        <v>46030.876435185186</v>
      </c>
      <c r="R221" s="2" t="s">
        <v>54</v>
      </c>
      <c r="S221" s="2" t="s">
        <v>51</v>
      </c>
      <c r="T221" s="2" t="s">
        <v>55</v>
      </c>
      <c r="U221" s="2" t="s">
        <v>59</v>
      </c>
      <c r="V221" s="2" t="s">
        <v>57</v>
      </c>
      <c r="W221" s="2" t="s">
        <v>58</v>
      </c>
      <c r="X221" s="2" t="s">
        <v>59</v>
      </c>
      <c r="Y221" s="1">
        <v>445.99</v>
      </c>
      <c r="Z221" s="1">
        <v>445.99</v>
      </c>
      <c r="AA221" s="1">
        <v>7</v>
      </c>
      <c r="AB221" s="1">
        <v>22.3</v>
      </c>
      <c r="AC221" s="1">
        <v>0</v>
      </c>
      <c r="AD221" s="1">
        <v>58.368949999999998</v>
      </c>
      <c r="AE221" s="1">
        <v>475.29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7.8048250000000001</v>
      </c>
      <c r="AP221" s="1">
        <v>1.0926754999999999</v>
      </c>
      <c r="AQ221" s="1">
        <v>391.21929999999998</v>
      </c>
      <c r="AR221" s="1">
        <v>391.21929999999998</v>
      </c>
      <c r="AS221" s="1">
        <v>97.804829999999995</v>
      </c>
      <c r="AT221" s="1">
        <v>13.692676199999999</v>
      </c>
      <c r="AU221" s="1">
        <v>28.99</v>
      </c>
      <c r="AV221" s="2" t="s">
        <v>60</v>
      </c>
      <c r="AW221" s="1">
        <v>296.60500000000002</v>
      </c>
      <c r="AX221" s="1">
        <f>Table1[[#This Row],[Original Commissionable GMV]]-Table1[[#This Row],[Commission ]]-Table1[[#This Row],[Commission VAT]]-Table1[[#This Row],[FreeDeliveryFund]]</f>
        <v>250.73179379999999</v>
      </c>
      <c r="AY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M221" s="2"/>
    </row>
    <row r="222" spans="12:65" x14ac:dyDescent="0.25">
      <c r="L222" s="2">
        <v>504016</v>
      </c>
      <c r="M222" s="2" t="s">
        <v>52</v>
      </c>
      <c r="N222" s="2">
        <v>505839</v>
      </c>
      <c r="O222" t="s">
        <v>53</v>
      </c>
      <c r="P222">
        <v>3388968153</v>
      </c>
      <c r="Q222" s="5">
        <v>46030.901655092595</v>
      </c>
      <c r="R222" s="2" t="s">
        <v>54</v>
      </c>
      <c r="S222" s="2" t="s">
        <v>51</v>
      </c>
      <c r="T222" s="2" t="s">
        <v>55</v>
      </c>
      <c r="U222" s="2" t="s">
        <v>59</v>
      </c>
      <c r="V222" s="2" t="s">
        <v>57</v>
      </c>
      <c r="W222" s="2" t="s">
        <v>58</v>
      </c>
      <c r="X222" s="2" t="s">
        <v>59</v>
      </c>
      <c r="Y222" s="1">
        <v>273.82</v>
      </c>
      <c r="Z222" s="1">
        <v>273.82</v>
      </c>
      <c r="AA222" s="1">
        <v>32.99</v>
      </c>
      <c r="AB222" s="1">
        <v>13.69</v>
      </c>
      <c r="AC222" s="1">
        <v>0</v>
      </c>
      <c r="AD222" s="1">
        <v>39.359650000000002</v>
      </c>
      <c r="AE222" s="1">
        <v>320.5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4.7918500000000002</v>
      </c>
      <c r="AP222" s="1">
        <v>0.67085899999999998</v>
      </c>
      <c r="AQ222" s="1">
        <v>240.19298000000001</v>
      </c>
      <c r="AR222" s="1">
        <v>240.19298000000001</v>
      </c>
      <c r="AS222" s="1">
        <v>60.048250000000003</v>
      </c>
      <c r="AT222" s="1">
        <v>8.4067550000000004</v>
      </c>
      <c r="AU222" s="1">
        <v>0</v>
      </c>
      <c r="AV222" s="2" t="s">
        <v>69</v>
      </c>
      <c r="AW222" s="1">
        <v>199.90199999999999</v>
      </c>
      <c r="AX222" s="1">
        <f>Table1[[#This Row],[Original Commissionable GMV]]-Table1[[#This Row],[Commission ]]-Table1[[#This Row],[Commission VAT]]-Table1[[#This Row],[FreeDeliveryFund]]</f>
        <v>171.73797500000001</v>
      </c>
      <c r="AY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M222" s="2"/>
    </row>
    <row r="223" spans="12:65" x14ac:dyDescent="0.25">
      <c r="L223" s="2">
        <v>504016</v>
      </c>
      <c r="M223" s="2" t="s">
        <v>52</v>
      </c>
      <c r="N223" s="2">
        <v>505839</v>
      </c>
      <c r="O223" t="s">
        <v>63</v>
      </c>
      <c r="P223">
        <v>3388995104</v>
      </c>
      <c r="Q223" s="5">
        <v>46030.91201388889</v>
      </c>
      <c r="R223" s="2" t="s">
        <v>62</v>
      </c>
      <c r="S223" s="2" t="s">
        <v>51</v>
      </c>
      <c r="T223" s="2" t="s">
        <v>55</v>
      </c>
      <c r="U223" s="2" t="s">
        <v>56</v>
      </c>
      <c r="V223" s="2" t="s">
        <v>57</v>
      </c>
      <c r="W223" s="2" t="s">
        <v>58</v>
      </c>
      <c r="X223" s="2" t="s">
        <v>59</v>
      </c>
      <c r="Y223" s="1">
        <v>419.58</v>
      </c>
      <c r="Z223" s="1">
        <v>419.58</v>
      </c>
      <c r="AA223" s="1">
        <v>0</v>
      </c>
      <c r="AB223" s="1">
        <v>20.98</v>
      </c>
      <c r="AC223" s="1">
        <v>0</v>
      </c>
      <c r="AD223" s="1">
        <v>54.103859999999997</v>
      </c>
      <c r="AE223" s="1">
        <v>440.56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368.05263000000002</v>
      </c>
      <c r="AR223" s="1">
        <v>368.05263000000002</v>
      </c>
      <c r="AS223" s="1">
        <v>92.013159999999999</v>
      </c>
      <c r="AT223" s="1">
        <v>12.8818424</v>
      </c>
      <c r="AU223" s="1">
        <v>30.99</v>
      </c>
      <c r="AV223" s="2" t="s">
        <v>60</v>
      </c>
      <c r="AW223" s="1">
        <v>283.69499999999999</v>
      </c>
      <c r="AX223" s="1">
        <f>Table1[[#This Row],[Original Commissionable GMV]]-Table1[[#This Row],[Commission ]]-Table1[[#This Row],[Commission VAT]]-Table1[[#This Row],[FreeDeliveryFund]]</f>
        <v>232.16762760000006</v>
      </c>
      <c r="AY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M223" s="2"/>
    </row>
    <row r="224" spans="12:65" x14ac:dyDescent="0.25">
      <c r="L224" s="2">
        <v>504016</v>
      </c>
      <c r="M224" s="2" t="s">
        <v>52</v>
      </c>
      <c r="N224" s="2">
        <v>505837</v>
      </c>
      <c r="O224" t="s">
        <v>63</v>
      </c>
      <c r="P224">
        <v>3389019019</v>
      </c>
      <c r="Q224" s="5">
        <v>46030.921770833331</v>
      </c>
      <c r="R224" s="2" t="s">
        <v>54</v>
      </c>
      <c r="S224" s="2" t="s">
        <v>51</v>
      </c>
      <c r="T224" s="2" t="s">
        <v>55</v>
      </c>
      <c r="U224" s="2" t="s">
        <v>59</v>
      </c>
      <c r="V224" s="2" t="s">
        <v>57</v>
      </c>
      <c r="W224" s="2" t="s">
        <v>58</v>
      </c>
      <c r="X224" s="2" t="s">
        <v>59</v>
      </c>
      <c r="Y224" s="1">
        <v>674.99</v>
      </c>
      <c r="Z224" s="1">
        <v>674.99</v>
      </c>
      <c r="AA224" s="1">
        <v>0</v>
      </c>
      <c r="AB224" s="1">
        <v>29.99</v>
      </c>
      <c r="AC224" s="1">
        <v>0</v>
      </c>
      <c r="AD224" s="1">
        <v>86.576490000000007</v>
      </c>
      <c r="AE224" s="1">
        <v>704.98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11.812325</v>
      </c>
      <c r="AP224" s="1">
        <v>1.6537255</v>
      </c>
      <c r="AQ224" s="1">
        <v>592.09649000000002</v>
      </c>
      <c r="AR224" s="1">
        <v>592.09649000000002</v>
      </c>
      <c r="AS224" s="1">
        <v>148.02412000000001</v>
      </c>
      <c r="AT224" s="1">
        <v>20.7233768</v>
      </c>
      <c r="AU224" s="1">
        <v>29.99</v>
      </c>
      <c r="AV224" s="2" t="s">
        <v>60</v>
      </c>
      <c r="AW224" s="1">
        <v>462.786</v>
      </c>
      <c r="AX224" s="1">
        <f>Table1[[#This Row],[Original Commissionable GMV]]-Table1[[#This Row],[Commission ]]-Table1[[#This Row],[Commission VAT]]-Table1[[#This Row],[FreeDeliveryFund]]</f>
        <v>393.35899319999999</v>
      </c>
      <c r="AY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M224" s="2"/>
    </row>
    <row r="225" spans="12:65" x14ac:dyDescent="0.25">
      <c r="L225" s="2">
        <v>504016</v>
      </c>
      <c r="M225" s="2" t="s">
        <v>52</v>
      </c>
      <c r="N225" s="2">
        <v>505839</v>
      </c>
      <c r="O225" t="s">
        <v>65</v>
      </c>
      <c r="P225">
        <v>3389027587</v>
      </c>
      <c r="Q225" s="5">
        <v>46030.925358796296</v>
      </c>
      <c r="R225" s="2" t="s">
        <v>62</v>
      </c>
      <c r="S225" s="2" t="s">
        <v>51</v>
      </c>
      <c r="T225" s="2" t="s">
        <v>55</v>
      </c>
      <c r="U225" s="2" t="s">
        <v>56</v>
      </c>
      <c r="V225" s="2" t="s">
        <v>57</v>
      </c>
      <c r="W225" s="2" t="s">
        <v>58</v>
      </c>
      <c r="X225" s="2" t="s">
        <v>59</v>
      </c>
      <c r="Y225" s="1">
        <v>771.31</v>
      </c>
      <c r="Z225" s="1">
        <v>771.31</v>
      </c>
      <c r="AA225" s="1">
        <v>27.99</v>
      </c>
      <c r="AB225" s="1">
        <v>29.99</v>
      </c>
      <c r="AC225" s="1">
        <v>0</v>
      </c>
      <c r="AD225" s="1">
        <v>101.84263</v>
      </c>
      <c r="AE225" s="1">
        <v>829.29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676.58771999999999</v>
      </c>
      <c r="AR225" s="1">
        <v>676.58771999999999</v>
      </c>
      <c r="AS225" s="1">
        <v>169.14693</v>
      </c>
      <c r="AT225" s="1">
        <v>23.680570199999998</v>
      </c>
      <c r="AU225" s="1">
        <v>0</v>
      </c>
      <c r="AV225" s="2" t="s">
        <v>69</v>
      </c>
      <c r="AW225" s="1">
        <v>578.48199999999997</v>
      </c>
      <c r="AX225" s="1">
        <f>Table1[[#This Row],[Original Commissionable GMV]]-Table1[[#This Row],[Commission ]]-Table1[[#This Row],[Commission VAT]]-Table1[[#This Row],[FreeDeliveryFund]]</f>
        <v>483.76021980000002</v>
      </c>
      <c r="AY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M225" s="2"/>
    </row>
    <row r="226" spans="12:65" x14ac:dyDescent="0.25">
      <c r="L226" s="2">
        <v>504016</v>
      </c>
      <c r="M226" s="2" t="s">
        <v>52</v>
      </c>
      <c r="N226" s="2">
        <v>505839</v>
      </c>
      <c r="O226" t="s">
        <v>53</v>
      </c>
      <c r="P226">
        <v>3389066870</v>
      </c>
      <c r="Q226" s="5">
        <v>46030.942372685182</v>
      </c>
      <c r="R226" s="2" t="s">
        <v>62</v>
      </c>
      <c r="S226" s="2" t="s">
        <v>51</v>
      </c>
      <c r="T226" s="2" t="s">
        <v>55</v>
      </c>
      <c r="U226" s="2" t="s">
        <v>56</v>
      </c>
      <c r="V226" s="2" t="s">
        <v>57</v>
      </c>
      <c r="W226" s="2" t="s">
        <v>58</v>
      </c>
      <c r="X226" s="2" t="s">
        <v>59</v>
      </c>
      <c r="Y226" s="1">
        <v>319.99</v>
      </c>
      <c r="Z226" s="1">
        <v>319.99</v>
      </c>
      <c r="AA226" s="1">
        <v>0</v>
      </c>
      <c r="AB226" s="1">
        <v>16</v>
      </c>
      <c r="AC226" s="1">
        <v>0</v>
      </c>
      <c r="AD226" s="1">
        <v>41.26193</v>
      </c>
      <c r="AE226" s="1">
        <v>335.99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280.69297999999998</v>
      </c>
      <c r="AR226" s="1">
        <v>280.69297999999998</v>
      </c>
      <c r="AS226" s="1">
        <v>70.173249999999996</v>
      </c>
      <c r="AT226" s="1">
        <v>9.8242550000000008</v>
      </c>
      <c r="AU226" s="1">
        <v>30.99</v>
      </c>
      <c r="AV226" s="2" t="s">
        <v>60</v>
      </c>
      <c r="AW226" s="1">
        <v>209.00200000000001</v>
      </c>
      <c r="AX226" s="1">
        <f>Table1[[#This Row],[Original Commissionable GMV]]-Table1[[#This Row],[Commission ]]-Table1[[#This Row],[Commission VAT]]-Table1[[#This Row],[FreeDeliveryFund]]</f>
        <v>169.70547499999998</v>
      </c>
      <c r="AY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M226" s="2"/>
    </row>
    <row r="227" spans="12:65" x14ac:dyDescent="0.25">
      <c r="L227" s="2">
        <v>504016</v>
      </c>
      <c r="M227" s="2" t="s">
        <v>52</v>
      </c>
      <c r="N227" s="2">
        <v>505839</v>
      </c>
      <c r="O227" t="s">
        <v>63</v>
      </c>
      <c r="P227">
        <v>3389070503</v>
      </c>
      <c r="Q227" s="5">
        <v>46030.944016203706</v>
      </c>
      <c r="R227" s="2" t="s">
        <v>54</v>
      </c>
      <c r="S227" s="2" t="s">
        <v>51</v>
      </c>
      <c r="T227" s="2" t="s">
        <v>55</v>
      </c>
      <c r="U227" s="2" t="s">
        <v>56</v>
      </c>
      <c r="V227" s="2" t="s">
        <v>57</v>
      </c>
      <c r="W227" s="2" t="s">
        <v>58</v>
      </c>
      <c r="X227" s="2" t="s">
        <v>59</v>
      </c>
      <c r="Y227" s="1">
        <v>451.67</v>
      </c>
      <c r="Z227" s="1">
        <v>451.67</v>
      </c>
      <c r="AA227" s="1">
        <v>0</v>
      </c>
      <c r="AB227" s="1">
        <v>22.58</v>
      </c>
      <c r="AC227" s="1">
        <v>0</v>
      </c>
      <c r="AD227" s="1">
        <v>58.241230000000002</v>
      </c>
      <c r="AE227" s="1">
        <v>474.25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7.9042250000000003</v>
      </c>
      <c r="AP227" s="1">
        <v>1.1065915</v>
      </c>
      <c r="AQ227" s="1">
        <v>396.20175</v>
      </c>
      <c r="AR227" s="1">
        <v>396.20175</v>
      </c>
      <c r="AS227" s="1">
        <v>99.050439999999995</v>
      </c>
      <c r="AT227" s="1">
        <v>13.8670616</v>
      </c>
      <c r="AU227" s="1">
        <v>26.99</v>
      </c>
      <c r="AV227" s="2" t="s">
        <v>60</v>
      </c>
      <c r="AW227" s="1">
        <v>302.75200000000001</v>
      </c>
      <c r="AX227" s="1">
        <f>Table1[[#This Row],[Original Commissionable GMV]]-Table1[[#This Row],[Commission ]]-Table1[[#This Row],[Commission VAT]]-Table1[[#This Row],[FreeDeliveryFund]]</f>
        <v>256.29424840000001</v>
      </c>
      <c r="AY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M227" s="2"/>
    </row>
    <row r="228" spans="12:65" x14ac:dyDescent="0.25">
      <c r="L228" s="2">
        <v>504016</v>
      </c>
      <c r="M228" s="2" t="s">
        <v>52</v>
      </c>
      <c r="N228" s="2">
        <v>505839</v>
      </c>
      <c r="O228" t="s">
        <v>63</v>
      </c>
      <c r="P228">
        <v>3389086196</v>
      </c>
      <c r="Q228" s="5">
        <v>46030.951435185183</v>
      </c>
      <c r="R228" s="2" t="s">
        <v>54</v>
      </c>
      <c r="S228" s="2" t="s">
        <v>51</v>
      </c>
      <c r="T228" s="2" t="s">
        <v>55</v>
      </c>
      <c r="U228" s="2" t="s">
        <v>59</v>
      </c>
      <c r="V228" s="2" t="s">
        <v>57</v>
      </c>
      <c r="W228" s="2" t="s">
        <v>58</v>
      </c>
      <c r="X228" s="2" t="s">
        <v>59</v>
      </c>
      <c r="Y228" s="1">
        <v>769.99</v>
      </c>
      <c r="Z228" s="1">
        <v>769.99</v>
      </c>
      <c r="AA228" s="1">
        <v>29.99</v>
      </c>
      <c r="AB228" s="1">
        <v>29.99</v>
      </c>
      <c r="AC228" s="1">
        <v>0</v>
      </c>
      <c r="AD228" s="1">
        <v>101.92614</v>
      </c>
      <c r="AE228" s="1">
        <v>829.97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13.474824999999999</v>
      </c>
      <c r="AP228" s="1">
        <v>1.8864755</v>
      </c>
      <c r="AQ228" s="1">
        <v>675.42981999999995</v>
      </c>
      <c r="AR228" s="1">
        <v>675.42981999999995</v>
      </c>
      <c r="AS228" s="1">
        <v>168.85746</v>
      </c>
      <c r="AT228" s="1">
        <v>23.640044400000001</v>
      </c>
      <c r="AU228" s="1">
        <v>0</v>
      </c>
      <c r="AV228" s="2" t="s">
        <v>69</v>
      </c>
      <c r="AW228" s="1">
        <v>562.13099999999997</v>
      </c>
      <c r="AX228" s="1">
        <f>Table1[[#This Row],[Original Commissionable GMV]]-Table1[[#This Row],[Commission ]]-Table1[[#This Row],[Commission VAT]]-Table1[[#This Row],[FreeDeliveryFund]]</f>
        <v>482.93231559999992</v>
      </c>
      <c r="AY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M228" s="2"/>
    </row>
    <row r="229" spans="12:65" x14ac:dyDescent="0.25">
      <c r="L229" s="2">
        <v>504016</v>
      </c>
      <c r="M229" s="2" t="s">
        <v>52</v>
      </c>
      <c r="N229" s="2">
        <v>505837</v>
      </c>
      <c r="O229" t="s">
        <v>53</v>
      </c>
      <c r="P229">
        <v>3389095902</v>
      </c>
      <c r="Q229" s="5">
        <v>46030.956157407411</v>
      </c>
      <c r="R229" s="2" t="s">
        <v>54</v>
      </c>
      <c r="S229" s="2" t="s">
        <v>51</v>
      </c>
      <c r="T229" s="2" t="s">
        <v>55</v>
      </c>
      <c r="U229" s="2" t="s">
        <v>59</v>
      </c>
      <c r="V229" s="2" t="s">
        <v>57</v>
      </c>
      <c r="W229" s="2" t="s">
        <v>58</v>
      </c>
      <c r="X229" s="2" t="s">
        <v>59</v>
      </c>
      <c r="Y229" s="1">
        <v>361.97</v>
      </c>
      <c r="Z229" s="1">
        <v>361.97</v>
      </c>
      <c r="AA229" s="1">
        <v>40.99</v>
      </c>
      <c r="AB229" s="1">
        <v>18.100000000000001</v>
      </c>
      <c r="AC229" s="1">
        <v>0</v>
      </c>
      <c r="AD229" s="1">
        <v>51.709119999999999</v>
      </c>
      <c r="AE229" s="1">
        <v>421.06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6.3344750000000003</v>
      </c>
      <c r="AP229" s="1">
        <v>0.88682649999999996</v>
      </c>
      <c r="AQ229" s="1">
        <v>317.51754</v>
      </c>
      <c r="AR229" s="1">
        <v>317.51754</v>
      </c>
      <c r="AS229" s="1">
        <v>79.379390000000001</v>
      </c>
      <c r="AT229" s="1">
        <v>11.113114599999999</v>
      </c>
      <c r="AU229" s="1">
        <v>0</v>
      </c>
      <c r="AV229" s="2" t="s">
        <v>69</v>
      </c>
      <c r="AW229" s="1">
        <v>264.25599999999997</v>
      </c>
      <c r="AX229" s="1">
        <f>Table1[[#This Row],[Original Commissionable GMV]]-Table1[[#This Row],[Commission ]]-Table1[[#This Row],[Commission VAT]]-Table1[[#This Row],[FreeDeliveryFund]]</f>
        <v>227.02503540000001</v>
      </c>
      <c r="AY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M229" s="2"/>
    </row>
    <row r="230" spans="12:65" x14ac:dyDescent="0.25">
      <c r="L230" s="2">
        <v>504016</v>
      </c>
      <c r="M230" s="2" t="s">
        <v>52</v>
      </c>
      <c r="N230" s="2">
        <v>505839</v>
      </c>
      <c r="O230" t="s">
        <v>53</v>
      </c>
      <c r="P230">
        <v>3389110938</v>
      </c>
      <c r="Q230" s="5">
        <v>46030.963726851849</v>
      </c>
      <c r="R230" s="2" t="s">
        <v>54</v>
      </c>
      <c r="S230" s="2" t="s">
        <v>51</v>
      </c>
      <c r="T230" s="2" t="s">
        <v>55</v>
      </c>
      <c r="U230" s="2" t="s">
        <v>59</v>
      </c>
      <c r="V230" s="2" t="s">
        <v>57</v>
      </c>
      <c r="W230" s="2" t="s">
        <v>58</v>
      </c>
      <c r="X230" s="2" t="s">
        <v>59</v>
      </c>
      <c r="Y230" s="1">
        <v>355.99</v>
      </c>
      <c r="Z230" s="1">
        <v>355.99</v>
      </c>
      <c r="AA230" s="1">
        <v>31.99</v>
      </c>
      <c r="AB230" s="1">
        <v>17.8</v>
      </c>
      <c r="AC230" s="1">
        <v>0</v>
      </c>
      <c r="AD230" s="1">
        <v>49.832630000000002</v>
      </c>
      <c r="AE230" s="1">
        <v>405.78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6.2298249999999999</v>
      </c>
      <c r="AP230" s="1">
        <v>0.87217549999999999</v>
      </c>
      <c r="AQ230" s="1">
        <v>312.27193</v>
      </c>
      <c r="AR230" s="1">
        <v>312.27193</v>
      </c>
      <c r="AS230" s="1">
        <v>78.067980000000006</v>
      </c>
      <c r="AT230" s="1">
        <v>10.929517199999999</v>
      </c>
      <c r="AU230" s="1">
        <v>0</v>
      </c>
      <c r="AV230" s="2" t="s">
        <v>69</v>
      </c>
      <c r="AW230" s="1">
        <v>259.89100000000002</v>
      </c>
      <c r="AX230" s="1">
        <f>Table1[[#This Row],[Original Commissionable GMV]]-Table1[[#This Row],[Commission ]]-Table1[[#This Row],[Commission VAT]]-Table1[[#This Row],[FreeDeliveryFund]]</f>
        <v>223.2744328</v>
      </c>
      <c r="AY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M230" s="2"/>
    </row>
    <row r="231" spans="12:65" x14ac:dyDescent="0.25">
      <c r="L231" s="2">
        <v>504016</v>
      </c>
      <c r="M231" s="2" t="s">
        <v>52</v>
      </c>
      <c r="N231" s="2">
        <v>505837</v>
      </c>
      <c r="O231" t="s">
        <v>53</v>
      </c>
      <c r="P231">
        <v>3389139519</v>
      </c>
      <c r="Q231" s="5">
        <v>46030.97865740741</v>
      </c>
      <c r="R231" s="2" t="s">
        <v>54</v>
      </c>
      <c r="S231" s="2" t="s">
        <v>51</v>
      </c>
      <c r="T231" s="2" t="s">
        <v>55</v>
      </c>
      <c r="U231" s="2" t="s">
        <v>56</v>
      </c>
      <c r="V231" s="2" t="s">
        <v>57</v>
      </c>
      <c r="W231" s="2" t="s">
        <v>58</v>
      </c>
      <c r="X231" s="2" t="s">
        <v>59</v>
      </c>
      <c r="Y231" s="1">
        <v>217.86</v>
      </c>
      <c r="Z231" s="1">
        <v>217.86</v>
      </c>
      <c r="AA231" s="1">
        <v>0</v>
      </c>
      <c r="AB231" s="1">
        <v>10.89</v>
      </c>
      <c r="AC231" s="1">
        <v>0</v>
      </c>
      <c r="AD231" s="1">
        <v>28.092110000000002</v>
      </c>
      <c r="AE231" s="1">
        <v>228.75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3.8125499999999999</v>
      </c>
      <c r="AP231" s="1">
        <v>0.53375700000000004</v>
      </c>
      <c r="AQ231" s="1">
        <v>191.10525999999999</v>
      </c>
      <c r="AR231" s="1">
        <v>191.10525999999999</v>
      </c>
      <c r="AS231" s="1">
        <v>47.776319999999998</v>
      </c>
      <c r="AT231" s="1">
        <v>6.6886847999999999</v>
      </c>
      <c r="AU231" s="1">
        <v>30.99</v>
      </c>
      <c r="AV231" s="2" t="s">
        <v>60</v>
      </c>
      <c r="AW231" s="1">
        <v>128.059</v>
      </c>
      <c r="AX231" s="1">
        <f>Table1[[#This Row],[Original Commissionable GMV]]-Table1[[#This Row],[Commission ]]-Table1[[#This Row],[Commission VAT]]-Table1[[#This Row],[FreeDeliveryFund]]</f>
        <v>105.65025519999999</v>
      </c>
      <c r="AY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M231" s="2"/>
    </row>
    <row r="232" spans="12:65" x14ac:dyDescent="0.25">
      <c r="L232" s="2">
        <v>504016</v>
      </c>
      <c r="M232" s="2" t="s">
        <v>52</v>
      </c>
      <c r="N232" s="2">
        <v>505839</v>
      </c>
      <c r="O232" t="s">
        <v>63</v>
      </c>
      <c r="P232">
        <v>3389899245</v>
      </c>
      <c r="Q232" s="5">
        <v>46031.578240740739</v>
      </c>
      <c r="R232" s="2" t="s">
        <v>54</v>
      </c>
      <c r="S232" s="2" t="s">
        <v>51</v>
      </c>
      <c r="T232" s="2" t="s">
        <v>55</v>
      </c>
      <c r="U232" s="2" t="s">
        <v>59</v>
      </c>
      <c r="V232" s="2" t="s">
        <v>57</v>
      </c>
      <c r="W232" s="2" t="s">
        <v>58</v>
      </c>
      <c r="X232" s="2" t="s">
        <v>59</v>
      </c>
      <c r="Y232" s="1">
        <v>589.98</v>
      </c>
      <c r="Z232" s="1">
        <v>589.98</v>
      </c>
      <c r="AA232" s="1">
        <v>0</v>
      </c>
      <c r="AB232" s="1">
        <v>29.5</v>
      </c>
      <c r="AC232" s="1">
        <v>0</v>
      </c>
      <c r="AD232" s="1">
        <v>76.076490000000007</v>
      </c>
      <c r="AE232" s="1">
        <v>619.48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10.32465</v>
      </c>
      <c r="AP232" s="1">
        <v>1.445451</v>
      </c>
      <c r="AQ232" s="1">
        <v>517.52632000000006</v>
      </c>
      <c r="AR232" s="1">
        <v>517.52632000000006</v>
      </c>
      <c r="AS232" s="1">
        <v>129.38158000000001</v>
      </c>
      <c r="AT232" s="1">
        <v>18.113421200000001</v>
      </c>
      <c r="AU232" s="1">
        <v>28.99</v>
      </c>
      <c r="AV232" s="2" t="s">
        <v>60</v>
      </c>
      <c r="AW232" s="1">
        <v>401.72500000000002</v>
      </c>
      <c r="AX232" s="1">
        <f>Table1[[#This Row],[Original Commissionable GMV]]-Table1[[#This Row],[Commission ]]-Table1[[#This Row],[Commission VAT]]-Table1[[#This Row],[FreeDeliveryFund]]</f>
        <v>341.04131880000006</v>
      </c>
      <c r="AY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M232" s="2"/>
    </row>
    <row r="233" spans="12:65" x14ac:dyDescent="0.25">
      <c r="L233" s="2">
        <v>504016</v>
      </c>
      <c r="M233" s="2" t="s">
        <v>52</v>
      </c>
      <c r="N233" s="2">
        <v>505839</v>
      </c>
      <c r="O233" t="s">
        <v>63</v>
      </c>
      <c r="P233">
        <v>3390018249</v>
      </c>
      <c r="Q233" s="5">
        <v>46031.622407407405</v>
      </c>
      <c r="R233" s="2" t="s">
        <v>54</v>
      </c>
      <c r="S233" s="2" t="s">
        <v>51</v>
      </c>
      <c r="T233" s="2" t="s">
        <v>55</v>
      </c>
      <c r="U233" s="2" t="s">
        <v>59</v>
      </c>
      <c r="V233" s="2" t="s">
        <v>57</v>
      </c>
      <c r="W233" s="2" t="s">
        <v>58</v>
      </c>
      <c r="X233" s="2" t="s">
        <v>59</v>
      </c>
      <c r="Y233" s="1">
        <v>411.97</v>
      </c>
      <c r="Z233" s="1">
        <v>411.97</v>
      </c>
      <c r="AA233" s="1">
        <v>0</v>
      </c>
      <c r="AB233" s="1">
        <v>20.6</v>
      </c>
      <c r="AC233" s="1">
        <v>0</v>
      </c>
      <c r="AD233" s="1">
        <v>53.122630000000001</v>
      </c>
      <c r="AE233" s="1">
        <v>432.57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7.2094750000000003</v>
      </c>
      <c r="AP233" s="1">
        <v>1.0093265</v>
      </c>
      <c r="AQ233" s="1">
        <v>361.37718999999998</v>
      </c>
      <c r="AR233" s="1">
        <v>361.37718999999998</v>
      </c>
      <c r="AS233" s="1">
        <v>90.344300000000004</v>
      </c>
      <c r="AT233" s="1">
        <v>12.648202</v>
      </c>
      <c r="AU233" s="1">
        <v>26.99</v>
      </c>
      <c r="AV233" s="2" t="s">
        <v>60</v>
      </c>
      <c r="AW233" s="1">
        <v>273.76900000000001</v>
      </c>
      <c r="AX233" s="1">
        <f>Table1[[#This Row],[Original Commissionable GMV]]-Table1[[#This Row],[Commission ]]-Table1[[#This Row],[Commission VAT]]-Table1[[#This Row],[FreeDeliveryFund]]</f>
        <v>231.39468799999992</v>
      </c>
      <c r="AY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M233" s="2"/>
    </row>
    <row r="234" spans="12:65" x14ac:dyDescent="0.25">
      <c r="L234" s="2">
        <v>504016</v>
      </c>
      <c r="M234" s="2" t="s">
        <v>52</v>
      </c>
      <c r="N234" s="2">
        <v>505835</v>
      </c>
      <c r="O234" t="s">
        <v>53</v>
      </c>
      <c r="P234">
        <v>3390092588</v>
      </c>
      <c r="Q234" s="5">
        <v>46031.648784722223</v>
      </c>
      <c r="R234" s="2" t="s">
        <v>54</v>
      </c>
      <c r="S234" s="2" t="s">
        <v>51</v>
      </c>
      <c r="T234" s="2" t="s">
        <v>55</v>
      </c>
      <c r="U234" s="2" t="s">
        <v>59</v>
      </c>
      <c r="V234" s="2" t="s">
        <v>57</v>
      </c>
      <c r="W234" s="2" t="s">
        <v>58</v>
      </c>
      <c r="X234" s="2" t="s">
        <v>59</v>
      </c>
      <c r="Y234" s="1">
        <v>2821.93</v>
      </c>
      <c r="Z234" s="1">
        <v>2821.93</v>
      </c>
      <c r="AA234" s="1">
        <v>0</v>
      </c>
      <c r="AB234" s="1">
        <v>29.99</v>
      </c>
      <c r="AC234" s="1">
        <v>0</v>
      </c>
      <c r="AD234" s="1">
        <v>350.23579000000001</v>
      </c>
      <c r="AE234" s="1">
        <v>2851.92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49.383773249999997</v>
      </c>
      <c r="AP234" s="1">
        <v>6.9137282549999997</v>
      </c>
      <c r="AQ234" s="1">
        <v>2475.3771900000002</v>
      </c>
      <c r="AR234" s="1">
        <v>2475.3771900000002</v>
      </c>
      <c r="AS234" s="1">
        <v>618.84429999999998</v>
      </c>
      <c r="AT234" s="1">
        <v>86.638202000000007</v>
      </c>
      <c r="AU234" s="1">
        <v>33.99</v>
      </c>
      <c r="AV234" s="2" t="s">
        <v>60</v>
      </c>
      <c r="AW234" s="1">
        <v>2026.16</v>
      </c>
      <c r="AX234" s="1">
        <f>Table1[[#This Row],[Original Commissionable GMV]]-Table1[[#This Row],[Commission ]]-Table1[[#This Row],[Commission VAT]]-Table1[[#This Row],[FreeDeliveryFund]]</f>
        <v>1735.9046880000001</v>
      </c>
      <c r="AY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M234" s="2"/>
    </row>
    <row r="235" spans="12:65" x14ac:dyDescent="0.25">
      <c r="L235" s="2">
        <v>504016</v>
      </c>
      <c r="M235" s="2" t="s">
        <v>52</v>
      </c>
      <c r="N235" s="2">
        <v>505837</v>
      </c>
      <c r="O235" t="s">
        <v>63</v>
      </c>
      <c r="P235">
        <v>3390202729</v>
      </c>
      <c r="Q235" s="5">
        <v>46031.686701388891</v>
      </c>
      <c r="R235" s="2" t="s">
        <v>54</v>
      </c>
      <c r="S235" s="2" t="s">
        <v>51</v>
      </c>
      <c r="T235" s="2" t="s">
        <v>55</v>
      </c>
      <c r="U235" s="2" t="s">
        <v>56</v>
      </c>
      <c r="V235" s="2" t="s">
        <v>57</v>
      </c>
      <c r="W235" s="2" t="s">
        <v>58</v>
      </c>
      <c r="X235" s="2" t="s">
        <v>59</v>
      </c>
      <c r="Y235" s="1">
        <v>1042.98</v>
      </c>
      <c r="Z235" s="1">
        <v>1042.98</v>
      </c>
      <c r="AA235" s="1">
        <v>0</v>
      </c>
      <c r="AB235" s="1">
        <v>29.99</v>
      </c>
      <c r="AC235" s="1">
        <v>0</v>
      </c>
      <c r="AD235" s="1">
        <v>131.76824999999999</v>
      </c>
      <c r="AE235" s="1">
        <v>1072.97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18.25215</v>
      </c>
      <c r="AP235" s="1">
        <v>2.555301</v>
      </c>
      <c r="AQ235" s="1">
        <v>914.89473999999996</v>
      </c>
      <c r="AR235" s="1">
        <v>914.89473999999996</v>
      </c>
      <c r="AS235" s="1">
        <v>228.72369</v>
      </c>
      <c r="AT235" s="1">
        <v>32.021316599999999</v>
      </c>
      <c r="AU235" s="1">
        <v>29.99</v>
      </c>
      <c r="AV235" s="2" t="s">
        <v>60</v>
      </c>
      <c r="AW235" s="1">
        <v>731.43799999999999</v>
      </c>
      <c r="AX235" s="1">
        <f>Table1[[#This Row],[Original Commissionable GMV]]-Table1[[#This Row],[Commission ]]-Table1[[#This Row],[Commission VAT]]-Table1[[#This Row],[FreeDeliveryFund]]</f>
        <v>624.15973339999994</v>
      </c>
      <c r="AY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M235" s="2"/>
    </row>
    <row r="236" spans="12:65" x14ac:dyDescent="0.25">
      <c r="L236" s="2">
        <v>504016</v>
      </c>
      <c r="M236" s="2" t="s">
        <v>52</v>
      </c>
      <c r="N236" s="2">
        <v>505837</v>
      </c>
      <c r="O236" t="s">
        <v>53</v>
      </c>
      <c r="P236">
        <v>3390274392</v>
      </c>
      <c r="Q236" s="5">
        <v>46031.708969907406</v>
      </c>
      <c r="R236" s="2" t="s">
        <v>62</v>
      </c>
      <c r="S236" s="2" t="s">
        <v>51</v>
      </c>
      <c r="T236" s="2" t="s">
        <v>55</v>
      </c>
      <c r="U236" s="2" t="s">
        <v>59</v>
      </c>
      <c r="V236" s="2" t="s">
        <v>57</v>
      </c>
      <c r="W236" s="2" t="s">
        <v>58</v>
      </c>
      <c r="X236" s="2" t="s">
        <v>59</v>
      </c>
      <c r="Y236" s="1">
        <v>355.99</v>
      </c>
      <c r="Z236" s="1">
        <v>355.99</v>
      </c>
      <c r="AA236" s="1">
        <v>32.99</v>
      </c>
      <c r="AB236" s="1">
        <v>17.8</v>
      </c>
      <c r="AC236" s="1">
        <v>0</v>
      </c>
      <c r="AD236" s="1">
        <v>49.955440000000003</v>
      </c>
      <c r="AE236" s="1">
        <v>406.78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312.27193</v>
      </c>
      <c r="AR236" s="1">
        <v>312.27193</v>
      </c>
      <c r="AS236" s="1">
        <v>78.067980000000006</v>
      </c>
      <c r="AT236" s="1">
        <v>10.929517199999999</v>
      </c>
      <c r="AU236" s="1">
        <v>0</v>
      </c>
      <c r="AV236" s="2" t="s">
        <v>69</v>
      </c>
      <c r="AW236" s="1">
        <v>266.99299999999999</v>
      </c>
      <c r="AX236" s="1">
        <f>Table1[[#This Row],[Original Commissionable GMV]]-Table1[[#This Row],[Commission ]]-Table1[[#This Row],[Commission VAT]]-Table1[[#This Row],[FreeDeliveryFund]]</f>
        <v>223.2744328</v>
      </c>
      <c r="AY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M236" s="2"/>
    </row>
    <row r="237" spans="12:65" x14ac:dyDescent="0.25">
      <c r="L237" s="2">
        <v>504016</v>
      </c>
      <c r="M237" s="2" t="s">
        <v>52</v>
      </c>
      <c r="N237" s="2">
        <v>505837</v>
      </c>
      <c r="O237" t="s">
        <v>53</v>
      </c>
      <c r="P237">
        <v>3390292884</v>
      </c>
      <c r="Q237" s="5">
        <v>46031.714467592596</v>
      </c>
      <c r="R237" s="2" t="s">
        <v>62</v>
      </c>
      <c r="S237" s="2" t="s">
        <v>51</v>
      </c>
      <c r="T237" s="2" t="s">
        <v>55</v>
      </c>
      <c r="U237" s="2" t="s">
        <v>56</v>
      </c>
      <c r="V237" s="2" t="s">
        <v>57</v>
      </c>
      <c r="W237" s="2" t="s">
        <v>58</v>
      </c>
      <c r="X237" s="2" t="s">
        <v>59</v>
      </c>
      <c r="Y237" s="1">
        <v>846.02</v>
      </c>
      <c r="Z237" s="1">
        <v>846.02</v>
      </c>
      <c r="AA237" s="1">
        <v>9</v>
      </c>
      <c r="AB237" s="1">
        <v>29.99</v>
      </c>
      <c r="AC237" s="1">
        <v>0</v>
      </c>
      <c r="AD237" s="1">
        <v>108.68544</v>
      </c>
      <c r="AE237" s="1">
        <v>885.01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742.12280999999996</v>
      </c>
      <c r="AR237" s="1">
        <v>742.12280999999996</v>
      </c>
      <c r="AS237" s="1">
        <v>185.5307</v>
      </c>
      <c r="AT237" s="1">
        <v>25.974298000000001</v>
      </c>
      <c r="AU237" s="1">
        <v>33.99</v>
      </c>
      <c r="AV237" s="2" t="s">
        <v>60</v>
      </c>
      <c r="AW237" s="1">
        <v>600.52499999999998</v>
      </c>
      <c r="AX237" s="1">
        <f>Table1[[#This Row],[Original Commissionable GMV]]-Table1[[#This Row],[Commission ]]-Table1[[#This Row],[Commission VAT]]-Table1[[#This Row],[FreeDeliveryFund]]</f>
        <v>496.62781199999995</v>
      </c>
      <c r="AY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M237" s="2"/>
    </row>
    <row r="238" spans="12:65" x14ac:dyDescent="0.25">
      <c r="L238" s="2">
        <v>504016</v>
      </c>
      <c r="M238" s="2" t="s">
        <v>52</v>
      </c>
      <c r="N238" s="2">
        <v>505837</v>
      </c>
      <c r="O238" t="s">
        <v>63</v>
      </c>
      <c r="P238">
        <v>3390376627</v>
      </c>
      <c r="Q238" s="5">
        <v>46031.73914351852</v>
      </c>
      <c r="R238" s="2" t="s">
        <v>54</v>
      </c>
      <c r="S238" s="2" t="s">
        <v>51</v>
      </c>
      <c r="T238" s="2" t="s">
        <v>55</v>
      </c>
      <c r="U238" s="2" t="s">
        <v>59</v>
      </c>
      <c r="V238" s="2" t="s">
        <v>57</v>
      </c>
      <c r="W238" s="2" t="s">
        <v>58</v>
      </c>
      <c r="X238" s="2" t="s">
        <v>59</v>
      </c>
      <c r="Y238" s="1">
        <v>765.98</v>
      </c>
      <c r="Z238" s="1">
        <v>765.98</v>
      </c>
      <c r="AA238" s="1">
        <v>0</v>
      </c>
      <c r="AB238" s="1">
        <v>29.99</v>
      </c>
      <c r="AC238" s="1">
        <v>0</v>
      </c>
      <c r="AD238" s="1">
        <v>97.750699999999995</v>
      </c>
      <c r="AE238" s="1">
        <v>795.97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13.40465</v>
      </c>
      <c r="AP238" s="1">
        <v>1.8766510000000001</v>
      </c>
      <c r="AQ238" s="1">
        <v>671.91228000000001</v>
      </c>
      <c r="AR238" s="1">
        <v>671.91228000000001</v>
      </c>
      <c r="AS238" s="1">
        <v>167.97807</v>
      </c>
      <c r="AT238" s="1">
        <v>23.5169298</v>
      </c>
      <c r="AU238" s="1">
        <v>26.99</v>
      </c>
      <c r="AV238" s="2" t="s">
        <v>60</v>
      </c>
      <c r="AW238" s="1">
        <v>532.21400000000006</v>
      </c>
      <c r="AX238" s="1">
        <f>Table1[[#This Row],[Original Commissionable GMV]]-Table1[[#This Row],[Commission ]]-Table1[[#This Row],[Commission VAT]]-Table1[[#This Row],[FreeDeliveryFund]]</f>
        <v>453.42728019999998</v>
      </c>
      <c r="AY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M238" s="2"/>
    </row>
    <row r="239" spans="12:65" x14ac:dyDescent="0.25">
      <c r="L239" s="2">
        <v>504016</v>
      </c>
      <c r="M239" s="2" t="s">
        <v>52</v>
      </c>
      <c r="N239" s="2">
        <v>505839</v>
      </c>
      <c r="O239" t="s">
        <v>65</v>
      </c>
      <c r="P239">
        <v>3390400722</v>
      </c>
      <c r="Q239" s="5">
        <v>46031.746111111112</v>
      </c>
      <c r="R239" s="2" t="s">
        <v>54</v>
      </c>
      <c r="S239" s="2" t="s">
        <v>51</v>
      </c>
      <c r="T239" s="2" t="s">
        <v>55</v>
      </c>
      <c r="U239" s="2" t="s">
        <v>59</v>
      </c>
      <c r="V239" s="2" t="s">
        <v>57</v>
      </c>
      <c r="W239" s="2" t="s">
        <v>58</v>
      </c>
      <c r="X239" s="2" t="s">
        <v>59</v>
      </c>
      <c r="Y239" s="1">
        <v>638.98</v>
      </c>
      <c r="Z239" s="1">
        <v>638.98</v>
      </c>
      <c r="AA239" s="1">
        <v>0</v>
      </c>
      <c r="AB239" s="1">
        <v>29.99</v>
      </c>
      <c r="AC239" s="1">
        <v>0</v>
      </c>
      <c r="AD239" s="1">
        <v>82.154210000000006</v>
      </c>
      <c r="AE239" s="1">
        <v>668.97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11.18215</v>
      </c>
      <c r="AP239" s="1">
        <v>1.565501</v>
      </c>
      <c r="AQ239" s="1">
        <v>560.50877000000003</v>
      </c>
      <c r="AR239" s="1">
        <v>560.50877000000003</v>
      </c>
      <c r="AS239" s="1">
        <v>140.12719000000001</v>
      </c>
      <c r="AT239" s="1">
        <v>19.617806600000002</v>
      </c>
      <c r="AU239" s="1">
        <v>29.99</v>
      </c>
      <c r="AV239" s="2" t="s">
        <v>60</v>
      </c>
      <c r="AW239" s="1">
        <v>436.49700000000001</v>
      </c>
      <c r="AX239" s="1">
        <f>Table1[[#This Row],[Original Commissionable GMV]]-Table1[[#This Row],[Commission ]]-Table1[[#This Row],[Commission VAT]]-Table1[[#This Row],[FreeDeliveryFund]]</f>
        <v>370.77377339999998</v>
      </c>
      <c r="AY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M239" s="2"/>
    </row>
    <row r="240" spans="12:65" x14ac:dyDescent="0.25">
      <c r="L240" s="2">
        <v>504016</v>
      </c>
      <c r="M240" s="2" t="s">
        <v>52</v>
      </c>
      <c r="N240" s="2">
        <v>505839</v>
      </c>
      <c r="O240" t="s">
        <v>53</v>
      </c>
      <c r="P240">
        <v>3390444538</v>
      </c>
      <c r="Q240" s="5">
        <v>46031.758391203701</v>
      </c>
      <c r="R240" s="2" t="s">
        <v>54</v>
      </c>
      <c r="S240" s="2" t="s">
        <v>51</v>
      </c>
      <c r="T240" s="2" t="s">
        <v>55</v>
      </c>
      <c r="U240" s="2" t="s">
        <v>59</v>
      </c>
      <c r="V240" s="2" t="s">
        <v>57</v>
      </c>
      <c r="W240" s="2" t="s">
        <v>58</v>
      </c>
      <c r="X240" s="2" t="s">
        <v>59</v>
      </c>
      <c r="Y240" s="1">
        <v>209.99</v>
      </c>
      <c r="Z240" s="1">
        <v>209.99</v>
      </c>
      <c r="AA240" s="1">
        <v>30.99</v>
      </c>
      <c r="AB240" s="1">
        <v>12.35</v>
      </c>
      <c r="AC240" s="1">
        <v>0</v>
      </c>
      <c r="AD240" s="1">
        <v>31.110700000000001</v>
      </c>
      <c r="AE240" s="1">
        <v>253.33</v>
      </c>
      <c r="AF240" s="1">
        <v>299.32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3.832325</v>
      </c>
      <c r="AP240" s="1">
        <v>0.53652549999999999</v>
      </c>
      <c r="AQ240" s="1">
        <v>216.64912000000001</v>
      </c>
      <c r="AR240" s="1">
        <v>216.64912000000001</v>
      </c>
      <c r="AS240" s="1">
        <v>54.162280000000003</v>
      </c>
      <c r="AT240" s="1">
        <v>7.5827191999999997</v>
      </c>
      <c r="AU240" s="1">
        <v>0</v>
      </c>
      <c r="AV240" s="2" t="s">
        <v>69</v>
      </c>
      <c r="AW240" s="1">
        <v>143.876</v>
      </c>
      <c r="AX240" s="1">
        <f>Table1[[#This Row],[Original Commissionable GMV]]-Table1[[#This Row],[Commission ]]-Table1[[#This Row],[Commission VAT]]-Table1[[#This Row],[FreeDeliveryFund]]</f>
        <v>154.90412079999999</v>
      </c>
      <c r="AY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M240" s="2"/>
    </row>
    <row r="241" spans="12:65" x14ac:dyDescent="0.25">
      <c r="L241" s="2">
        <v>504016</v>
      </c>
      <c r="M241" s="2" t="s">
        <v>52</v>
      </c>
      <c r="N241" s="2">
        <v>505839</v>
      </c>
      <c r="O241" t="s">
        <v>63</v>
      </c>
      <c r="P241">
        <v>3390485279</v>
      </c>
      <c r="Q241" s="5">
        <v>46031.76972222222</v>
      </c>
      <c r="R241" s="2" t="s">
        <v>54</v>
      </c>
      <c r="S241" s="2" t="s">
        <v>51</v>
      </c>
      <c r="T241" s="2" t="s">
        <v>55</v>
      </c>
      <c r="U241" s="2" t="s">
        <v>59</v>
      </c>
      <c r="V241" s="2" t="s">
        <v>57</v>
      </c>
      <c r="W241" s="2" t="s">
        <v>58</v>
      </c>
      <c r="X241" s="2" t="s">
        <v>59</v>
      </c>
      <c r="Y241" s="1">
        <v>1212.71</v>
      </c>
      <c r="Z241" s="1">
        <v>1212.71</v>
      </c>
      <c r="AA241" s="1">
        <v>0</v>
      </c>
      <c r="AB241" s="1">
        <v>29.99</v>
      </c>
      <c r="AC241" s="1">
        <v>0</v>
      </c>
      <c r="AD241" s="1">
        <v>152.61228</v>
      </c>
      <c r="AE241" s="1">
        <v>1242.7</v>
      </c>
      <c r="AG241" s="1">
        <v>0</v>
      </c>
      <c r="AH241" s="1">
        <v>0</v>
      </c>
      <c r="AI241" s="1">
        <v>132.24</v>
      </c>
      <c r="AJ241" s="1">
        <v>80</v>
      </c>
      <c r="AK241" s="1">
        <v>132.24</v>
      </c>
      <c r="AL241" s="1">
        <v>0</v>
      </c>
      <c r="AM241" s="1">
        <v>0</v>
      </c>
      <c r="AN241" s="1">
        <v>0</v>
      </c>
      <c r="AO241" s="1">
        <v>21.222425000000001</v>
      </c>
      <c r="AP241" s="1">
        <v>2.9711395</v>
      </c>
      <c r="AQ241" s="1">
        <v>1063.7807</v>
      </c>
      <c r="AR241" s="1">
        <v>1063.7807</v>
      </c>
      <c r="AS241" s="1">
        <v>265.94517999999999</v>
      </c>
      <c r="AT241" s="1">
        <v>37.232325199999998</v>
      </c>
      <c r="AU241" s="1">
        <v>26.99</v>
      </c>
      <c r="AV241" s="2" t="s">
        <v>60</v>
      </c>
      <c r="AW241" s="1">
        <v>858.34900000000005</v>
      </c>
      <c r="AX241" s="1">
        <f>Table1[[#This Row],[Original Commissionable GMV]]-Table1[[#This Row],[Commission ]]-Table1[[#This Row],[Commission VAT]]-Table1[[#This Row],[FreeDeliveryFund]]</f>
        <v>733.61319480000009</v>
      </c>
      <c r="AY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M241" s="2"/>
    </row>
    <row r="242" spans="12:65" x14ac:dyDescent="0.25">
      <c r="L242" s="2">
        <v>504016</v>
      </c>
      <c r="M242" s="2" t="s">
        <v>52</v>
      </c>
      <c r="N242" s="2">
        <v>505839</v>
      </c>
      <c r="O242" t="s">
        <v>63</v>
      </c>
      <c r="P242">
        <v>3390537847</v>
      </c>
      <c r="Q242" s="5">
        <v>46031.784421296295</v>
      </c>
      <c r="R242" s="2" t="s">
        <v>54</v>
      </c>
      <c r="S242" s="2" t="s">
        <v>51</v>
      </c>
      <c r="T242" s="2" t="s">
        <v>55</v>
      </c>
      <c r="U242" s="2" t="s">
        <v>56</v>
      </c>
      <c r="V242" s="2" t="s">
        <v>57</v>
      </c>
      <c r="W242" s="2" t="s">
        <v>58</v>
      </c>
      <c r="X242" s="2" t="s">
        <v>59</v>
      </c>
      <c r="Y242" s="1">
        <v>387.92</v>
      </c>
      <c r="Z242" s="1">
        <v>387.92</v>
      </c>
      <c r="AA242" s="1">
        <v>28.99</v>
      </c>
      <c r="AB242" s="1">
        <v>19.399999999999999</v>
      </c>
      <c r="AC242" s="1">
        <v>0</v>
      </c>
      <c r="AD242" s="1">
        <v>53.58193</v>
      </c>
      <c r="AE242" s="1">
        <v>436.31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6.7885999999999997</v>
      </c>
      <c r="AP242" s="1">
        <v>0.95040400000000003</v>
      </c>
      <c r="AQ242" s="1">
        <v>340.28070000000002</v>
      </c>
      <c r="AR242" s="1">
        <v>340.28070000000002</v>
      </c>
      <c r="AS242" s="1">
        <v>85.070179999999993</v>
      </c>
      <c r="AT242" s="1">
        <v>11.9098252</v>
      </c>
      <c r="AU242" s="1">
        <v>0</v>
      </c>
      <c r="AV242" s="2" t="s">
        <v>69</v>
      </c>
      <c r="AW242" s="1">
        <v>283.20100000000002</v>
      </c>
      <c r="AX242" s="1">
        <f>Table1[[#This Row],[Original Commissionable GMV]]-Table1[[#This Row],[Commission ]]-Table1[[#This Row],[Commission VAT]]-Table1[[#This Row],[FreeDeliveryFund]]</f>
        <v>243.30069480000003</v>
      </c>
      <c r="AY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M242" s="2"/>
    </row>
    <row r="243" spans="12:65" x14ac:dyDescent="0.25">
      <c r="L243" s="2">
        <v>504016</v>
      </c>
      <c r="M243" s="2" t="s">
        <v>52</v>
      </c>
      <c r="N243" s="2">
        <v>505839</v>
      </c>
      <c r="O243" t="s">
        <v>53</v>
      </c>
      <c r="P243">
        <v>3390569461</v>
      </c>
      <c r="Q243" s="5">
        <v>46031.793379629627</v>
      </c>
      <c r="R243" s="2" t="s">
        <v>54</v>
      </c>
      <c r="S243" s="2" t="s">
        <v>51</v>
      </c>
      <c r="T243" s="2" t="s">
        <v>55</v>
      </c>
      <c r="U243" s="2" t="s">
        <v>59</v>
      </c>
      <c r="V243" s="2" t="s">
        <v>57</v>
      </c>
      <c r="W243" s="2" t="s">
        <v>58</v>
      </c>
      <c r="X243" s="2" t="s">
        <v>59</v>
      </c>
      <c r="Y243" s="1">
        <v>804.98</v>
      </c>
      <c r="Z243" s="1">
        <v>804.98</v>
      </c>
      <c r="AA243" s="1">
        <v>32.99</v>
      </c>
      <c r="AB243" s="1">
        <v>29.99</v>
      </c>
      <c r="AC243" s="1">
        <v>0</v>
      </c>
      <c r="AD243" s="1">
        <v>106.59157999999999</v>
      </c>
      <c r="AE243" s="1">
        <v>867.96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14.087149999999999</v>
      </c>
      <c r="AP243" s="1">
        <v>1.9722010000000001</v>
      </c>
      <c r="AQ243" s="1">
        <v>706.12280999999996</v>
      </c>
      <c r="AR243" s="1">
        <v>706.12280999999996</v>
      </c>
      <c r="AS243" s="1">
        <v>176.5307</v>
      </c>
      <c r="AT243" s="1">
        <v>24.714297999999999</v>
      </c>
      <c r="AU243" s="1">
        <v>0</v>
      </c>
      <c r="AV243" s="2" t="s">
        <v>69</v>
      </c>
      <c r="AW243" s="1">
        <v>587.67600000000004</v>
      </c>
      <c r="AX243" s="1">
        <f>Table1[[#This Row],[Original Commissionable GMV]]-Table1[[#This Row],[Commission ]]-Table1[[#This Row],[Commission VAT]]-Table1[[#This Row],[FreeDeliveryFund]]</f>
        <v>504.87781199999995</v>
      </c>
      <c r="AY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M243" s="2"/>
    </row>
    <row r="244" spans="12:65" x14ac:dyDescent="0.25">
      <c r="L244" s="2">
        <v>504016</v>
      </c>
      <c r="M244" s="2" t="s">
        <v>52</v>
      </c>
      <c r="N244" s="2">
        <v>505839</v>
      </c>
      <c r="O244" t="s">
        <v>63</v>
      </c>
      <c r="P244">
        <v>3390577548</v>
      </c>
      <c r="Q244" s="5">
        <v>46031.795648148145</v>
      </c>
      <c r="R244" s="2" t="s">
        <v>66</v>
      </c>
      <c r="S244" s="2" t="s">
        <v>51</v>
      </c>
      <c r="T244" s="2" t="s">
        <v>55</v>
      </c>
      <c r="U244" s="2" t="s">
        <v>59</v>
      </c>
      <c r="V244" s="2" t="s">
        <v>57</v>
      </c>
      <c r="W244" s="2" t="s">
        <v>58</v>
      </c>
      <c r="X244" s="2" t="s">
        <v>59</v>
      </c>
      <c r="Y244" s="1">
        <v>570.17999999999995</v>
      </c>
      <c r="Z244" s="1">
        <v>570.17999999999995</v>
      </c>
      <c r="AA244" s="1">
        <v>0</v>
      </c>
      <c r="AB244" s="1">
        <v>28.51</v>
      </c>
      <c r="AC244" s="1">
        <v>0</v>
      </c>
      <c r="AD244" s="1">
        <v>73.523330000000001</v>
      </c>
      <c r="AE244" s="1">
        <v>598.69000000000005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9.9781499999999994</v>
      </c>
      <c r="AP244" s="1">
        <v>1.396941</v>
      </c>
      <c r="AQ244" s="1">
        <v>500.15789000000001</v>
      </c>
      <c r="AR244" s="1">
        <v>500.15789000000001</v>
      </c>
      <c r="AS244" s="1">
        <v>125.03946999999999</v>
      </c>
      <c r="AT244" s="1">
        <v>17.505525800000001</v>
      </c>
      <c r="AU244" s="1">
        <v>29.99</v>
      </c>
      <c r="AV244" s="2" t="s">
        <v>60</v>
      </c>
      <c r="AW244" s="1">
        <v>386.27</v>
      </c>
      <c r="AX244" s="1">
        <f>Table1[[#This Row],[Original Commissionable GMV]]-Table1[[#This Row],[Commission ]]-Table1[[#This Row],[Commission VAT]]-Table1[[#This Row],[FreeDeliveryFund]]</f>
        <v>327.62289420000002</v>
      </c>
      <c r="AY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M244" s="2"/>
    </row>
    <row r="245" spans="12:65" x14ac:dyDescent="0.25">
      <c r="L245" s="2">
        <v>504016</v>
      </c>
      <c r="M245" s="2" t="s">
        <v>52</v>
      </c>
      <c r="N245" s="2">
        <v>505839</v>
      </c>
      <c r="O245" t="s">
        <v>53</v>
      </c>
      <c r="P245">
        <v>3390587027</v>
      </c>
      <c r="Q245" s="5">
        <v>46031.798368055555</v>
      </c>
      <c r="R245" s="2" t="s">
        <v>54</v>
      </c>
      <c r="S245" s="2" t="s">
        <v>51</v>
      </c>
      <c r="T245" s="2" t="s">
        <v>55</v>
      </c>
      <c r="U245" s="2" t="s">
        <v>56</v>
      </c>
      <c r="V245" s="2" t="s">
        <v>57</v>
      </c>
      <c r="W245" s="2" t="s">
        <v>58</v>
      </c>
      <c r="X245" s="2" t="s">
        <v>59</v>
      </c>
      <c r="Y245" s="1">
        <v>767.99</v>
      </c>
      <c r="Z245" s="1">
        <v>767.99</v>
      </c>
      <c r="AA245" s="1">
        <v>0</v>
      </c>
      <c r="AB245" s="1">
        <v>29.99</v>
      </c>
      <c r="AC245" s="1">
        <v>0</v>
      </c>
      <c r="AD245" s="1">
        <v>97.997540000000001</v>
      </c>
      <c r="AE245" s="1">
        <v>797.98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13.439825000000001</v>
      </c>
      <c r="AP245" s="1">
        <v>1.8815755000000001</v>
      </c>
      <c r="AQ245" s="1">
        <v>673.67543999999998</v>
      </c>
      <c r="AR245" s="1">
        <v>673.67543999999998</v>
      </c>
      <c r="AS245" s="1">
        <v>168.41886</v>
      </c>
      <c r="AT245" s="1">
        <v>23.578640400000001</v>
      </c>
      <c r="AU245" s="1">
        <v>30.99</v>
      </c>
      <c r="AV245" s="2" t="s">
        <v>60</v>
      </c>
      <c r="AW245" s="1">
        <v>529.68100000000004</v>
      </c>
      <c r="AX245" s="1">
        <f>Table1[[#This Row],[Original Commissionable GMV]]-Table1[[#This Row],[Commission ]]-Table1[[#This Row],[Commission VAT]]-Table1[[#This Row],[FreeDeliveryFund]]</f>
        <v>450.68793959999999</v>
      </c>
      <c r="AY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M245" s="2"/>
    </row>
    <row r="246" spans="12:65" x14ac:dyDescent="0.25">
      <c r="L246" s="2">
        <v>504016</v>
      </c>
      <c r="M246" s="2" t="s">
        <v>52</v>
      </c>
      <c r="N246" s="2">
        <v>505839</v>
      </c>
      <c r="O246" t="s">
        <v>53</v>
      </c>
      <c r="P246">
        <v>3390694272</v>
      </c>
      <c r="Q246" s="5">
        <v>46031.829837962963</v>
      </c>
      <c r="R246" s="2" t="s">
        <v>54</v>
      </c>
      <c r="S246" s="2" t="s">
        <v>51</v>
      </c>
      <c r="T246" s="2" t="s">
        <v>55</v>
      </c>
      <c r="U246" s="2" t="s">
        <v>59</v>
      </c>
      <c r="V246" s="2" t="s">
        <v>57</v>
      </c>
      <c r="W246" s="2" t="s">
        <v>58</v>
      </c>
      <c r="X246" s="2" t="s">
        <v>59</v>
      </c>
      <c r="Y246" s="1">
        <v>462.28</v>
      </c>
      <c r="Z246" s="1">
        <v>462.28</v>
      </c>
      <c r="AA246" s="1">
        <v>0</v>
      </c>
      <c r="AB246" s="1">
        <v>23.11</v>
      </c>
      <c r="AC246" s="1">
        <v>0</v>
      </c>
      <c r="AD246" s="1">
        <v>59.609299999999998</v>
      </c>
      <c r="AE246" s="1">
        <v>485.39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8.0899000000000001</v>
      </c>
      <c r="AP246" s="1">
        <v>1.1325860000000001</v>
      </c>
      <c r="AQ246" s="1">
        <v>405.50877000000003</v>
      </c>
      <c r="AR246" s="1">
        <v>405.50877000000003</v>
      </c>
      <c r="AS246" s="1">
        <v>101.37719</v>
      </c>
      <c r="AT246" s="1">
        <v>14.192806600000001</v>
      </c>
      <c r="AU246" s="1">
        <v>31.99</v>
      </c>
      <c r="AV246" s="2" t="s">
        <v>60</v>
      </c>
      <c r="AW246" s="1">
        <v>305.49799999999999</v>
      </c>
      <c r="AX246" s="1">
        <f>Table1[[#This Row],[Original Commissionable GMV]]-Table1[[#This Row],[Commission ]]-Table1[[#This Row],[Commission VAT]]-Table1[[#This Row],[FreeDeliveryFund]]</f>
        <v>257.94877340000005</v>
      </c>
      <c r="AY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M246" s="2"/>
    </row>
    <row r="247" spans="12:65" x14ac:dyDescent="0.25">
      <c r="L247" s="2">
        <v>504016</v>
      </c>
      <c r="M247" s="2" t="s">
        <v>52</v>
      </c>
      <c r="N247" s="2">
        <v>505837</v>
      </c>
      <c r="O247" t="s">
        <v>65</v>
      </c>
      <c r="P247">
        <v>3390884757</v>
      </c>
      <c r="Q247" s="5">
        <v>46031.892453703702</v>
      </c>
      <c r="R247" s="2" t="s">
        <v>54</v>
      </c>
      <c r="S247" s="2" t="s">
        <v>51</v>
      </c>
      <c r="T247" s="2" t="s">
        <v>55</v>
      </c>
      <c r="U247" s="2" t="s">
        <v>56</v>
      </c>
      <c r="V247" s="2" t="s">
        <v>57</v>
      </c>
      <c r="W247" s="2" t="s">
        <v>58</v>
      </c>
      <c r="X247" s="2" t="s">
        <v>59</v>
      </c>
      <c r="Y247" s="1">
        <v>339.82</v>
      </c>
      <c r="Z247" s="1">
        <v>339.82</v>
      </c>
      <c r="AA247" s="1">
        <v>0</v>
      </c>
      <c r="AB247" s="1">
        <v>16.989999999999998</v>
      </c>
      <c r="AC247" s="1">
        <v>0</v>
      </c>
      <c r="AD247" s="1">
        <v>43.818770000000001</v>
      </c>
      <c r="AE247" s="1">
        <v>356.81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5.9468500000000004</v>
      </c>
      <c r="AP247" s="1">
        <v>0.83255900000000005</v>
      </c>
      <c r="AQ247" s="1">
        <v>298.08771999999999</v>
      </c>
      <c r="AR247" s="1">
        <v>298.08771999999999</v>
      </c>
      <c r="AS247" s="1">
        <v>74.521929999999998</v>
      </c>
      <c r="AT247" s="1">
        <v>10.4330702</v>
      </c>
      <c r="AU247" s="1">
        <v>28.99</v>
      </c>
      <c r="AV247" s="2" t="s">
        <v>60</v>
      </c>
      <c r="AW247" s="1">
        <v>219.096</v>
      </c>
      <c r="AX247" s="1">
        <f>Table1[[#This Row],[Original Commissionable GMV]]-Table1[[#This Row],[Commission ]]-Table1[[#This Row],[Commission VAT]]-Table1[[#This Row],[FreeDeliveryFund]]</f>
        <v>184.14271979999998</v>
      </c>
      <c r="AY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M247" s="2"/>
    </row>
    <row r="248" spans="12:65" x14ac:dyDescent="0.25">
      <c r="L248" s="2">
        <v>504016</v>
      </c>
      <c r="M248" s="2" t="s">
        <v>52</v>
      </c>
      <c r="N248" s="2">
        <v>505837</v>
      </c>
      <c r="O248" t="s">
        <v>63</v>
      </c>
      <c r="P248">
        <v>3390937042</v>
      </c>
      <c r="Q248" s="5">
        <v>46031.912581018521</v>
      </c>
      <c r="R248" s="2" t="s">
        <v>62</v>
      </c>
      <c r="S248" s="2" t="s">
        <v>51</v>
      </c>
      <c r="T248" s="2" t="s">
        <v>55</v>
      </c>
      <c r="U248" s="2" t="s">
        <v>56</v>
      </c>
      <c r="V248" s="2" t="s">
        <v>57</v>
      </c>
      <c r="W248" s="2" t="s">
        <v>58</v>
      </c>
      <c r="X248" s="2" t="s">
        <v>59</v>
      </c>
      <c r="Y248" s="1">
        <v>464.98</v>
      </c>
      <c r="Z248" s="1">
        <v>464.98</v>
      </c>
      <c r="AA248" s="1">
        <v>0</v>
      </c>
      <c r="AB248" s="1">
        <v>23.25</v>
      </c>
      <c r="AC248" s="1">
        <v>0</v>
      </c>
      <c r="AD248" s="1">
        <v>59.958069999999999</v>
      </c>
      <c r="AE248" s="1">
        <v>488.23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407.87718999999998</v>
      </c>
      <c r="AR248" s="1">
        <v>407.87718999999998</v>
      </c>
      <c r="AS248" s="1">
        <v>101.9693</v>
      </c>
      <c r="AT248" s="1">
        <v>14.275702000000001</v>
      </c>
      <c r="AU248" s="1">
        <v>26.99</v>
      </c>
      <c r="AV248" s="2" t="s">
        <v>60</v>
      </c>
      <c r="AW248" s="1">
        <v>321.745</v>
      </c>
      <c r="AX248" s="1">
        <f>Table1[[#This Row],[Original Commissionable GMV]]-Table1[[#This Row],[Commission ]]-Table1[[#This Row],[Commission VAT]]-Table1[[#This Row],[FreeDeliveryFund]]</f>
        <v>264.64218799999992</v>
      </c>
      <c r="AY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M248" s="2"/>
    </row>
    <row r="249" spans="12:65" x14ac:dyDescent="0.25">
      <c r="L249" s="2">
        <v>504016</v>
      </c>
      <c r="M249" s="2" t="s">
        <v>52</v>
      </c>
      <c r="N249" s="2">
        <v>505837</v>
      </c>
      <c r="O249" t="s">
        <v>63</v>
      </c>
      <c r="P249">
        <v>3391023096</v>
      </c>
      <c r="Q249" s="5">
        <v>46031.950856481482</v>
      </c>
      <c r="R249" s="2" t="s">
        <v>54</v>
      </c>
      <c r="S249" s="2" t="s">
        <v>51</v>
      </c>
      <c r="T249" s="2" t="s">
        <v>55</v>
      </c>
      <c r="U249" s="2" t="s">
        <v>56</v>
      </c>
      <c r="V249" s="2" t="s">
        <v>57</v>
      </c>
      <c r="W249" s="2" t="s">
        <v>58</v>
      </c>
      <c r="X249" s="2" t="s">
        <v>59</v>
      </c>
      <c r="Y249" s="1">
        <v>341.58</v>
      </c>
      <c r="Z249" s="1">
        <v>341.58</v>
      </c>
      <c r="AA249" s="1">
        <v>0</v>
      </c>
      <c r="AB249" s="1">
        <v>17.079999999999998</v>
      </c>
      <c r="AC249" s="1">
        <v>0</v>
      </c>
      <c r="AD249" s="1">
        <v>44.045960000000001</v>
      </c>
      <c r="AE249" s="1">
        <v>358.66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5.9776499999999997</v>
      </c>
      <c r="AP249" s="1">
        <v>0.83687100000000003</v>
      </c>
      <c r="AQ249" s="1">
        <v>299.63157999999999</v>
      </c>
      <c r="AR249" s="1">
        <v>299.63157999999999</v>
      </c>
      <c r="AS249" s="1">
        <v>74.907899999999998</v>
      </c>
      <c r="AT249" s="1">
        <v>10.487106000000001</v>
      </c>
      <c r="AU249" s="1">
        <v>30.99</v>
      </c>
      <c r="AV249" s="2" t="s">
        <v>60</v>
      </c>
      <c r="AW249" s="1">
        <v>218.38</v>
      </c>
      <c r="AX249" s="1">
        <f>Table1[[#This Row],[Original Commissionable GMV]]-Table1[[#This Row],[Commission ]]-Table1[[#This Row],[Commission VAT]]-Table1[[#This Row],[FreeDeliveryFund]]</f>
        <v>183.24657399999998</v>
      </c>
      <c r="AY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M249" s="2"/>
    </row>
    <row r="250" spans="12:65" x14ac:dyDescent="0.25">
      <c r="L250" s="2">
        <v>504016</v>
      </c>
      <c r="M250" s="2" t="s">
        <v>52</v>
      </c>
      <c r="N250" s="2">
        <v>505839</v>
      </c>
      <c r="O250" t="s">
        <v>63</v>
      </c>
      <c r="P250">
        <v>3391027594</v>
      </c>
      <c r="Q250" s="5">
        <v>46031.9530787037</v>
      </c>
      <c r="R250" s="2" t="s">
        <v>54</v>
      </c>
      <c r="S250" s="2" t="s">
        <v>51</v>
      </c>
      <c r="T250" s="2" t="s">
        <v>55</v>
      </c>
      <c r="U250" s="2" t="s">
        <v>56</v>
      </c>
      <c r="V250" s="2" t="s">
        <v>57</v>
      </c>
      <c r="W250" s="2" t="s">
        <v>58</v>
      </c>
      <c r="X250" s="2" t="s">
        <v>59</v>
      </c>
      <c r="Y250" s="1">
        <v>758.57</v>
      </c>
      <c r="Z250" s="1">
        <v>758.57</v>
      </c>
      <c r="AA250" s="1">
        <v>28.99</v>
      </c>
      <c r="AB250" s="1">
        <v>29.99</v>
      </c>
      <c r="AC250" s="1">
        <v>0</v>
      </c>
      <c r="AD250" s="1">
        <v>100.40088</v>
      </c>
      <c r="AE250" s="1">
        <v>817.55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13.274975</v>
      </c>
      <c r="AP250" s="1">
        <v>1.8584965</v>
      </c>
      <c r="AQ250" s="1">
        <v>665.41228000000001</v>
      </c>
      <c r="AR250" s="1">
        <v>665.41228000000001</v>
      </c>
      <c r="AS250" s="1">
        <v>166.35307</v>
      </c>
      <c r="AT250" s="1">
        <v>23.289429800000001</v>
      </c>
      <c r="AU250" s="1">
        <v>0</v>
      </c>
      <c r="AV250" s="2" t="s">
        <v>69</v>
      </c>
      <c r="AW250" s="1">
        <v>553.79399999999998</v>
      </c>
      <c r="AX250" s="1">
        <f>Table1[[#This Row],[Original Commissionable GMV]]-Table1[[#This Row],[Commission ]]-Table1[[#This Row],[Commission VAT]]-Table1[[#This Row],[FreeDeliveryFund]]</f>
        <v>475.76978020000001</v>
      </c>
      <c r="AY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M250" s="2"/>
    </row>
    <row r="251" spans="12:65" x14ac:dyDescent="0.25">
      <c r="L251" s="2">
        <v>504016</v>
      </c>
      <c r="M251" s="2" t="s">
        <v>52</v>
      </c>
      <c r="N251" s="2">
        <v>505835</v>
      </c>
      <c r="O251" t="s">
        <v>53</v>
      </c>
      <c r="P251">
        <v>3391068528</v>
      </c>
      <c r="Q251" s="5">
        <v>46031.974988425929</v>
      </c>
      <c r="R251" s="2" t="s">
        <v>54</v>
      </c>
      <c r="S251" s="2" t="s">
        <v>51</v>
      </c>
      <c r="T251" s="2" t="s">
        <v>55</v>
      </c>
      <c r="U251" s="2" t="s">
        <v>56</v>
      </c>
      <c r="V251" s="2" t="s">
        <v>57</v>
      </c>
      <c r="W251" s="2" t="s">
        <v>58</v>
      </c>
      <c r="X251" s="2" t="s">
        <v>59</v>
      </c>
      <c r="Y251" s="1">
        <v>400.99</v>
      </c>
      <c r="Z251" s="1">
        <v>400.99</v>
      </c>
      <c r="AA251" s="1">
        <v>0</v>
      </c>
      <c r="AB251" s="1">
        <v>20.05</v>
      </c>
      <c r="AC251" s="1">
        <v>0</v>
      </c>
      <c r="AD251" s="1">
        <v>51.706670000000003</v>
      </c>
      <c r="AE251" s="1">
        <v>421.04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7.0173249999999996</v>
      </c>
      <c r="AP251" s="1">
        <v>0.98242549999999995</v>
      </c>
      <c r="AQ251" s="1">
        <v>351.74561</v>
      </c>
      <c r="AR251" s="1">
        <v>351.74561</v>
      </c>
      <c r="AS251" s="1">
        <v>87.936400000000006</v>
      </c>
      <c r="AT251" s="1">
        <v>12.311095999999999</v>
      </c>
      <c r="AU251" s="1">
        <v>30.99</v>
      </c>
      <c r="AV251" s="2" t="s">
        <v>60</v>
      </c>
      <c r="AW251" s="1">
        <v>261.75299999999999</v>
      </c>
      <c r="AX251" s="1">
        <f>Table1[[#This Row],[Original Commissionable GMV]]-Table1[[#This Row],[Commission ]]-Table1[[#This Row],[Commission VAT]]-Table1[[#This Row],[FreeDeliveryFund]]</f>
        <v>220.50811400000001</v>
      </c>
      <c r="AY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M251" s="2"/>
    </row>
    <row r="252" spans="12:65" x14ac:dyDescent="0.25">
      <c r="L252" s="2">
        <v>504016</v>
      </c>
      <c r="M252" s="2" t="s">
        <v>52</v>
      </c>
      <c r="N252" s="2">
        <v>505837</v>
      </c>
      <c r="O252" t="s">
        <v>63</v>
      </c>
      <c r="P252">
        <v>3391607001</v>
      </c>
      <c r="Q252" s="5">
        <v>46032.507719907408</v>
      </c>
      <c r="R252" s="2" t="s">
        <v>54</v>
      </c>
      <c r="S252" s="2" t="s">
        <v>51</v>
      </c>
      <c r="T252" s="2" t="s">
        <v>55</v>
      </c>
      <c r="U252" s="2" t="s">
        <v>59</v>
      </c>
      <c r="V252" s="2" t="s">
        <v>57</v>
      </c>
      <c r="W252" s="2" t="s">
        <v>58</v>
      </c>
      <c r="X252" s="2" t="s">
        <v>59</v>
      </c>
      <c r="Y252" s="1">
        <v>769.99</v>
      </c>
      <c r="Z252" s="1">
        <v>769.99</v>
      </c>
      <c r="AA252" s="1">
        <v>0</v>
      </c>
      <c r="AB252" s="1">
        <v>29.99</v>
      </c>
      <c r="AC252" s="1">
        <v>0</v>
      </c>
      <c r="AD252" s="1">
        <v>98.243160000000003</v>
      </c>
      <c r="AE252" s="1">
        <v>799.98</v>
      </c>
      <c r="AG252" s="1">
        <v>0</v>
      </c>
      <c r="AH252" s="1">
        <v>0</v>
      </c>
      <c r="AI252" s="1">
        <v>132.24</v>
      </c>
      <c r="AJ252" s="1">
        <v>0</v>
      </c>
      <c r="AK252" s="1">
        <v>132.24</v>
      </c>
      <c r="AL252" s="1">
        <v>0</v>
      </c>
      <c r="AM252" s="1">
        <v>0</v>
      </c>
      <c r="AN252" s="1">
        <v>0</v>
      </c>
      <c r="AO252" s="1">
        <v>13.474824999999999</v>
      </c>
      <c r="AP252" s="1">
        <v>1.8864755</v>
      </c>
      <c r="AQ252" s="1">
        <v>675.42981999999995</v>
      </c>
      <c r="AR252" s="1">
        <v>675.42981999999995</v>
      </c>
      <c r="AS252" s="1">
        <v>168.85746</v>
      </c>
      <c r="AT252" s="1">
        <v>23.640044400000001</v>
      </c>
      <c r="AU252" s="1">
        <v>29.99</v>
      </c>
      <c r="AV252" s="2" t="s">
        <v>60</v>
      </c>
      <c r="AW252" s="1">
        <v>532.14099999999996</v>
      </c>
      <c r="AX252" s="1">
        <f>Table1[[#This Row],[Original Commissionable GMV]]-Table1[[#This Row],[Commission ]]-Table1[[#This Row],[Commission VAT]]-Table1[[#This Row],[FreeDeliveryFund]]</f>
        <v>452.94231559999992</v>
      </c>
      <c r="AY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M252" s="2"/>
    </row>
    <row r="253" spans="12:65" x14ac:dyDescent="0.25">
      <c r="L253" s="2">
        <v>504016</v>
      </c>
      <c r="M253" s="2" t="s">
        <v>52</v>
      </c>
      <c r="N253" s="2">
        <v>505839</v>
      </c>
      <c r="O253" t="s">
        <v>65</v>
      </c>
      <c r="P253">
        <v>3391735091</v>
      </c>
      <c r="Q253" s="5">
        <v>46032.55810185185</v>
      </c>
      <c r="R253" s="2" t="s">
        <v>54</v>
      </c>
      <c r="S253" s="2" t="s">
        <v>51</v>
      </c>
      <c r="T253" s="2" t="s">
        <v>55</v>
      </c>
      <c r="U253" s="2" t="s">
        <v>59</v>
      </c>
      <c r="V253" s="2" t="s">
        <v>57</v>
      </c>
      <c r="W253" s="2" t="s">
        <v>58</v>
      </c>
      <c r="X253" s="2" t="s">
        <v>59</v>
      </c>
      <c r="Y253" s="1">
        <v>333.98</v>
      </c>
      <c r="Z253" s="1">
        <v>333.98</v>
      </c>
      <c r="AA253" s="1">
        <v>0</v>
      </c>
      <c r="AB253" s="1">
        <v>16.7</v>
      </c>
      <c r="AC253" s="1">
        <v>0</v>
      </c>
      <c r="AD253" s="1">
        <v>43.065959999999997</v>
      </c>
      <c r="AE253" s="1">
        <v>350.68</v>
      </c>
      <c r="AG253" s="1">
        <v>0</v>
      </c>
      <c r="AH253" s="1">
        <v>0</v>
      </c>
      <c r="AI253" s="1">
        <v>132.24</v>
      </c>
      <c r="AJ253" s="1">
        <v>0</v>
      </c>
      <c r="AK253" s="1">
        <v>132.24</v>
      </c>
      <c r="AL253" s="1">
        <v>0</v>
      </c>
      <c r="AM253" s="1">
        <v>0</v>
      </c>
      <c r="AN253" s="1">
        <v>0</v>
      </c>
      <c r="AO253" s="1">
        <v>5.8446499999999997</v>
      </c>
      <c r="AP253" s="1">
        <v>0.81825099999999995</v>
      </c>
      <c r="AQ253" s="1">
        <v>292.96490999999997</v>
      </c>
      <c r="AR253" s="1">
        <v>292.96490999999997</v>
      </c>
      <c r="AS253" s="1">
        <v>73.241230000000002</v>
      </c>
      <c r="AT253" s="1">
        <v>10.2537722</v>
      </c>
      <c r="AU253" s="1">
        <v>28.99</v>
      </c>
      <c r="AV253" s="2" t="s">
        <v>60</v>
      </c>
      <c r="AW253" s="1">
        <v>214.83199999999999</v>
      </c>
      <c r="AX253" s="1">
        <f>Table1[[#This Row],[Original Commissionable GMV]]-Table1[[#This Row],[Commission ]]-Table1[[#This Row],[Commission VAT]]-Table1[[#This Row],[FreeDeliveryFund]]</f>
        <v>180.47990779999998</v>
      </c>
      <c r="AY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M253" s="2"/>
    </row>
    <row r="254" spans="12:65" x14ac:dyDescent="0.25">
      <c r="L254" s="2">
        <v>504016</v>
      </c>
      <c r="M254" s="2" t="s">
        <v>52</v>
      </c>
      <c r="N254" s="2">
        <v>505837</v>
      </c>
      <c r="O254" t="s">
        <v>53</v>
      </c>
      <c r="P254">
        <v>3391742757</v>
      </c>
      <c r="Q254" s="5">
        <v>46032.561099537037</v>
      </c>
      <c r="R254" s="2" t="s">
        <v>54</v>
      </c>
      <c r="S254" s="2" t="s">
        <v>51</v>
      </c>
      <c r="T254" s="2" t="s">
        <v>55</v>
      </c>
      <c r="U254" s="2" t="s">
        <v>59</v>
      </c>
      <c r="V254" s="2" t="s">
        <v>57</v>
      </c>
      <c r="W254" s="2" t="s">
        <v>58</v>
      </c>
      <c r="X254" s="2" t="s">
        <v>59</v>
      </c>
      <c r="Y254" s="1">
        <v>709.98</v>
      </c>
      <c r="Z254" s="1">
        <v>709.98</v>
      </c>
      <c r="AA254" s="1">
        <v>35.99</v>
      </c>
      <c r="AB254" s="1">
        <v>29.99</v>
      </c>
      <c r="AC254" s="1">
        <v>0</v>
      </c>
      <c r="AD254" s="1">
        <v>95.293329999999997</v>
      </c>
      <c r="AE254" s="1">
        <v>775.96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12.42465</v>
      </c>
      <c r="AP254" s="1">
        <v>1.7394510000000001</v>
      </c>
      <c r="AQ254" s="1">
        <v>622.78947000000005</v>
      </c>
      <c r="AR254" s="1">
        <v>622.78947000000005</v>
      </c>
      <c r="AS254" s="1">
        <v>155.69737000000001</v>
      </c>
      <c r="AT254" s="1">
        <v>21.797631800000001</v>
      </c>
      <c r="AU254" s="1">
        <v>0</v>
      </c>
      <c r="AV254" s="2" t="s">
        <v>69</v>
      </c>
      <c r="AW254" s="1">
        <v>518.32100000000003</v>
      </c>
      <c r="AX254" s="1">
        <f>Table1[[#This Row],[Original Commissionable GMV]]-Table1[[#This Row],[Commission ]]-Table1[[#This Row],[Commission VAT]]-Table1[[#This Row],[FreeDeliveryFund]]</f>
        <v>445.2944682000001</v>
      </c>
      <c r="AY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M254" s="2"/>
    </row>
    <row r="255" spans="12:65" x14ac:dyDescent="0.25">
      <c r="L255" s="2">
        <v>504016</v>
      </c>
      <c r="M255" s="2" t="s">
        <v>52</v>
      </c>
      <c r="N255" s="2">
        <v>505837</v>
      </c>
      <c r="O255" t="s">
        <v>53</v>
      </c>
      <c r="P255">
        <v>3391816087</v>
      </c>
      <c r="Q255" s="5">
        <v>46032.590289351851</v>
      </c>
      <c r="R255" s="2" t="s">
        <v>54</v>
      </c>
      <c r="S255" s="2" t="s">
        <v>51</v>
      </c>
      <c r="T255" s="2" t="s">
        <v>55</v>
      </c>
      <c r="U255" s="2" t="s">
        <v>56</v>
      </c>
      <c r="V255" s="2" t="s">
        <v>57</v>
      </c>
      <c r="W255" s="2" t="s">
        <v>58</v>
      </c>
      <c r="X255" s="2" t="s">
        <v>59</v>
      </c>
      <c r="Y255" s="1">
        <v>639.99</v>
      </c>
      <c r="Z255" s="1">
        <v>639.99</v>
      </c>
      <c r="AA255" s="1">
        <v>31.99</v>
      </c>
      <c r="AB255" s="1">
        <v>29.99</v>
      </c>
      <c r="AC255" s="1">
        <v>0</v>
      </c>
      <c r="AD255" s="1">
        <v>86.20684</v>
      </c>
      <c r="AE255" s="1">
        <v>701.97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30</v>
      </c>
      <c r="AN255" s="1">
        <v>4.2</v>
      </c>
      <c r="AO255" s="1">
        <v>11.199825000000001</v>
      </c>
      <c r="AP255" s="1">
        <v>1.5679755</v>
      </c>
      <c r="AQ255" s="1">
        <v>561.39473999999996</v>
      </c>
      <c r="AR255" s="1">
        <v>561.39473999999996</v>
      </c>
      <c r="AS255" s="1">
        <v>140.34869</v>
      </c>
      <c r="AT255" s="1">
        <v>19.6488166</v>
      </c>
      <c r="AU255" s="1">
        <v>0</v>
      </c>
      <c r="AV255" s="2" t="s">
        <v>69</v>
      </c>
      <c r="AW255" s="1">
        <v>433.02499999999998</v>
      </c>
      <c r="AX255" s="1">
        <f>Table1[[#This Row],[Original Commissionable GMV]]-Table1[[#This Row],[Commission ]]-Table1[[#This Row],[Commission VAT]]-Table1[[#This Row],[FreeDeliveryFund]]</f>
        <v>401.39723339999995</v>
      </c>
      <c r="AY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M255" s="2"/>
    </row>
    <row r="256" spans="12:65" x14ac:dyDescent="0.25">
      <c r="L256" s="2">
        <v>504016</v>
      </c>
      <c r="M256" s="2" t="s">
        <v>52</v>
      </c>
      <c r="N256" s="2">
        <v>505839</v>
      </c>
      <c r="O256" t="s">
        <v>63</v>
      </c>
      <c r="P256">
        <v>3391849559</v>
      </c>
      <c r="Q256" s="5">
        <v>46032.603252314817</v>
      </c>
      <c r="R256" s="2" t="s">
        <v>54</v>
      </c>
      <c r="S256" s="2" t="s">
        <v>51</v>
      </c>
      <c r="T256" s="2" t="s">
        <v>55</v>
      </c>
      <c r="U256" s="2" t="s">
        <v>59</v>
      </c>
      <c r="V256" s="2" t="s">
        <v>57</v>
      </c>
      <c r="W256" s="2" t="s">
        <v>58</v>
      </c>
      <c r="X256" s="2" t="s">
        <v>59</v>
      </c>
      <c r="Y256" s="1">
        <v>351.98</v>
      </c>
      <c r="Z256" s="1">
        <v>351.98</v>
      </c>
      <c r="AA256" s="1">
        <v>30.99</v>
      </c>
      <c r="AB256" s="1">
        <v>17.600000000000001</v>
      </c>
      <c r="AC256" s="1">
        <v>0</v>
      </c>
      <c r="AD256" s="1">
        <v>49.192810000000001</v>
      </c>
      <c r="AE256" s="1">
        <v>400.57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6.1596500000000001</v>
      </c>
      <c r="AP256" s="1">
        <v>0.86235099999999998</v>
      </c>
      <c r="AQ256" s="1">
        <v>308.75439</v>
      </c>
      <c r="AR256" s="1">
        <v>308.75439</v>
      </c>
      <c r="AS256" s="1">
        <v>77.188599999999994</v>
      </c>
      <c r="AT256" s="1">
        <v>10.806404000000001</v>
      </c>
      <c r="AU256" s="1">
        <v>0</v>
      </c>
      <c r="AV256" s="2" t="s">
        <v>69</v>
      </c>
      <c r="AW256" s="1">
        <v>256.96300000000002</v>
      </c>
      <c r="AX256" s="1">
        <f>Table1[[#This Row],[Original Commissionable GMV]]-Table1[[#This Row],[Commission ]]-Table1[[#This Row],[Commission VAT]]-Table1[[#This Row],[FreeDeliveryFund]]</f>
        <v>220.75938600000001</v>
      </c>
      <c r="AY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M256" s="2"/>
    </row>
    <row r="257" spans="12:65" x14ac:dyDescent="0.25">
      <c r="L257" s="2">
        <v>504016</v>
      </c>
      <c r="M257" s="2" t="s">
        <v>52</v>
      </c>
      <c r="N257" s="2">
        <v>505839</v>
      </c>
      <c r="O257" t="s">
        <v>53</v>
      </c>
      <c r="P257">
        <v>3391871632</v>
      </c>
      <c r="Q257" s="5">
        <v>46032.61178240741</v>
      </c>
      <c r="R257" s="2" t="s">
        <v>66</v>
      </c>
      <c r="S257" s="2" t="s">
        <v>51</v>
      </c>
      <c r="T257" s="2" t="s">
        <v>55</v>
      </c>
      <c r="U257" s="2" t="s">
        <v>56</v>
      </c>
      <c r="V257" s="2" t="s">
        <v>57</v>
      </c>
      <c r="W257" s="2" t="s">
        <v>58</v>
      </c>
      <c r="X257" s="2" t="s">
        <v>59</v>
      </c>
      <c r="Y257" s="1">
        <v>319.99</v>
      </c>
      <c r="Z257" s="1">
        <v>319.99</v>
      </c>
      <c r="AA257" s="1">
        <v>30.99</v>
      </c>
      <c r="AB257" s="1">
        <v>16</v>
      </c>
      <c r="AC257" s="1">
        <v>0</v>
      </c>
      <c r="AD257" s="1">
        <v>45.067720000000001</v>
      </c>
      <c r="AE257" s="1">
        <v>366.98</v>
      </c>
      <c r="AG257" s="1">
        <v>0</v>
      </c>
      <c r="AH257" s="1">
        <v>0</v>
      </c>
      <c r="AI257" s="1">
        <v>132.24</v>
      </c>
      <c r="AJ257" s="1">
        <v>0</v>
      </c>
      <c r="AK257" s="1">
        <v>132.24</v>
      </c>
      <c r="AL257" s="1">
        <v>0</v>
      </c>
      <c r="AM257" s="1">
        <v>0</v>
      </c>
      <c r="AN257" s="1">
        <v>0</v>
      </c>
      <c r="AO257" s="1">
        <v>5.5998250000000001</v>
      </c>
      <c r="AP257" s="1">
        <v>0.78397550000000005</v>
      </c>
      <c r="AQ257" s="1">
        <v>280.69297999999998</v>
      </c>
      <c r="AR257" s="1">
        <v>280.69297999999998</v>
      </c>
      <c r="AS257" s="1">
        <v>70.173249999999996</v>
      </c>
      <c r="AT257" s="1">
        <v>9.8242550000000008</v>
      </c>
      <c r="AU257" s="1">
        <v>0</v>
      </c>
      <c r="AV257" s="2" t="s">
        <v>69</v>
      </c>
      <c r="AW257" s="1">
        <v>233.60900000000001</v>
      </c>
      <c r="AX257" s="1">
        <f>Table1[[#This Row],[Original Commissionable GMV]]-Table1[[#This Row],[Commission ]]-Table1[[#This Row],[Commission VAT]]-Table1[[#This Row],[FreeDeliveryFund]]</f>
        <v>200.69547499999999</v>
      </c>
      <c r="AY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M257" s="2"/>
    </row>
    <row r="258" spans="12:65" x14ac:dyDescent="0.25">
      <c r="L258" s="2">
        <v>504016</v>
      </c>
      <c r="M258" s="2" t="s">
        <v>52</v>
      </c>
      <c r="N258" s="2">
        <v>505837</v>
      </c>
      <c r="O258" t="s">
        <v>63</v>
      </c>
      <c r="P258">
        <v>3391992003</v>
      </c>
      <c r="Q258" s="5">
        <v>46032.656817129631</v>
      </c>
      <c r="R258" s="2" t="s">
        <v>54</v>
      </c>
      <c r="S258" s="2" t="s">
        <v>51</v>
      </c>
      <c r="T258" s="2" t="s">
        <v>55</v>
      </c>
      <c r="U258" s="2" t="s">
        <v>59</v>
      </c>
      <c r="V258" s="2" t="s">
        <v>57</v>
      </c>
      <c r="W258" s="2" t="s">
        <v>58</v>
      </c>
      <c r="X258" s="2" t="s">
        <v>59</v>
      </c>
      <c r="Y258" s="1">
        <v>747.97</v>
      </c>
      <c r="Z258" s="1">
        <v>747.97</v>
      </c>
      <c r="AA258" s="1">
        <v>27.99</v>
      </c>
      <c r="AB258" s="1">
        <v>29.99</v>
      </c>
      <c r="AC258" s="1">
        <v>0</v>
      </c>
      <c r="AD258" s="1">
        <v>98.976320000000001</v>
      </c>
      <c r="AE258" s="1">
        <v>805.95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13.089475</v>
      </c>
      <c r="AP258" s="1">
        <v>1.8325264999999999</v>
      </c>
      <c r="AQ258" s="1">
        <v>656.11404000000005</v>
      </c>
      <c r="AR258" s="1">
        <v>656.11404000000005</v>
      </c>
      <c r="AS258" s="1">
        <v>164.02851000000001</v>
      </c>
      <c r="AT258" s="1">
        <v>22.963991400000001</v>
      </c>
      <c r="AU258" s="1">
        <v>0</v>
      </c>
      <c r="AV258" s="2" t="s">
        <v>69</v>
      </c>
      <c r="AW258" s="1">
        <v>546.05499999999995</v>
      </c>
      <c r="AX258" s="1">
        <f>Table1[[#This Row],[Original Commissionable GMV]]-Table1[[#This Row],[Commission ]]-Table1[[#This Row],[Commission VAT]]-Table1[[#This Row],[FreeDeliveryFund]]</f>
        <v>469.12153860000006</v>
      </c>
      <c r="AY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M258" s="2"/>
    </row>
    <row r="259" spans="12:65" x14ac:dyDescent="0.25">
      <c r="L259" s="2">
        <v>504016</v>
      </c>
      <c r="M259" s="2" t="s">
        <v>52</v>
      </c>
      <c r="N259" s="2">
        <v>505839</v>
      </c>
      <c r="O259" t="s">
        <v>53</v>
      </c>
      <c r="P259">
        <v>3392146606</v>
      </c>
      <c r="Q259" s="5">
        <v>46032.709629629629</v>
      </c>
      <c r="R259" s="2" t="s">
        <v>54</v>
      </c>
      <c r="S259" s="2" t="s">
        <v>51</v>
      </c>
      <c r="T259" s="2" t="s">
        <v>55</v>
      </c>
      <c r="U259" s="2" t="s">
        <v>59</v>
      </c>
      <c r="V259" s="2" t="s">
        <v>57</v>
      </c>
      <c r="W259" s="2" t="s">
        <v>58</v>
      </c>
      <c r="X259" s="2" t="s">
        <v>59</v>
      </c>
      <c r="Y259" s="1">
        <v>1618.62</v>
      </c>
      <c r="Z259" s="1">
        <v>1618.62</v>
      </c>
      <c r="AA259" s="1">
        <v>40.99</v>
      </c>
      <c r="AB259" s="1">
        <v>29.99</v>
      </c>
      <c r="AC259" s="1">
        <v>0</v>
      </c>
      <c r="AD259" s="1">
        <v>207.49474000000001</v>
      </c>
      <c r="AE259" s="1">
        <v>1689.6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28.325849999999999</v>
      </c>
      <c r="AP259" s="1">
        <v>3.9656189999999998</v>
      </c>
      <c r="AQ259" s="1">
        <v>1419.84211</v>
      </c>
      <c r="AR259" s="1">
        <v>1419.84211</v>
      </c>
      <c r="AS259" s="1">
        <v>354.96053000000001</v>
      </c>
      <c r="AT259" s="1">
        <v>49.694474200000002</v>
      </c>
      <c r="AU259" s="1">
        <v>0</v>
      </c>
      <c r="AV259" s="2" t="s">
        <v>69</v>
      </c>
      <c r="AW259" s="1">
        <v>1181.674</v>
      </c>
      <c r="AX259" s="1">
        <f>Table1[[#This Row],[Original Commissionable GMV]]-Table1[[#This Row],[Commission ]]-Table1[[#This Row],[Commission VAT]]-Table1[[#This Row],[FreeDeliveryFund]]</f>
        <v>1015.1871057999999</v>
      </c>
      <c r="AY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M259" s="2"/>
    </row>
    <row r="260" spans="12:65" x14ac:dyDescent="0.25">
      <c r="L260" s="2">
        <v>504016</v>
      </c>
      <c r="M260" s="2" t="s">
        <v>52</v>
      </c>
      <c r="N260" s="2">
        <v>505839</v>
      </c>
      <c r="O260" t="s">
        <v>65</v>
      </c>
      <c r="P260">
        <v>3392146754</v>
      </c>
      <c r="Q260" s="5">
        <v>46032.709675925929</v>
      </c>
      <c r="R260" s="2" t="s">
        <v>54</v>
      </c>
      <c r="S260" s="2" t="s">
        <v>51</v>
      </c>
      <c r="T260" s="2" t="s">
        <v>55</v>
      </c>
      <c r="U260" s="2" t="s">
        <v>56</v>
      </c>
      <c r="V260" s="2" t="s">
        <v>57</v>
      </c>
      <c r="W260" s="2" t="s">
        <v>58</v>
      </c>
      <c r="X260" s="2" t="s">
        <v>59</v>
      </c>
      <c r="Y260" s="1">
        <v>2764.44</v>
      </c>
      <c r="Z260" s="1">
        <v>2764.44</v>
      </c>
      <c r="AA260" s="1">
        <v>7</v>
      </c>
      <c r="AB260" s="1">
        <v>29.99</v>
      </c>
      <c r="AC260" s="1">
        <v>0</v>
      </c>
      <c r="AD260" s="1">
        <v>344.03525999999999</v>
      </c>
      <c r="AE260" s="1">
        <v>2801.43</v>
      </c>
      <c r="AG260" s="1">
        <v>0</v>
      </c>
      <c r="AH260" s="1">
        <v>0</v>
      </c>
      <c r="AI260" s="1">
        <v>298.68</v>
      </c>
      <c r="AJ260" s="1">
        <v>0</v>
      </c>
      <c r="AK260" s="1">
        <v>298.68</v>
      </c>
      <c r="AL260" s="1">
        <v>0</v>
      </c>
      <c r="AM260" s="1">
        <v>30</v>
      </c>
      <c r="AN260" s="1">
        <v>4.2</v>
      </c>
      <c r="AO260" s="1">
        <v>48.377698250000002</v>
      </c>
      <c r="AP260" s="1">
        <v>6.7728777549999997</v>
      </c>
      <c r="AQ260" s="1">
        <v>2424.9473699999999</v>
      </c>
      <c r="AR260" s="1">
        <v>2424.9473699999999</v>
      </c>
      <c r="AS260" s="1">
        <v>606.23684000000003</v>
      </c>
      <c r="AT260" s="1">
        <v>84.873157599999999</v>
      </c>
      <c r="AU260" s="1">
        <v>28.99</v>
      </c>
      <c r="AV260" s="2" t="s">
        <v>60</v>
      </c>
      <c r="AW260" s="1">
        <v>1954.989</v>
      </c>
      <c r="AX260" s="1">
        <f>Table1[[#This Row],[Original Commissionable GMV]]-Table1[[#This Row],[Commission ]]-Table1[[#This Row],[Commission VAT]]-Table1[[#This Row],[FreeDeliveryFund]]</f>
        <v>1704.8473723999998</v>
      </c>
      <c r="AY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M260" s="2"/>
    </row>
    <row r="261" spans="12:65" x14ac:dyDescent="0.25">
      <c r="L261" s="2">
        <v>504016</v>
      </c>
      <c r="M261" s="2" t="s">
        <v>52</v>
      </c>
      <c r="N261" s="2">
        <v>505837</v>
      </c>
      <c r="O261" t="s">
        <v>53</v>
      </c>
      <c r="P261">
        <v>3392184853</v>
      </c>
      <c r="Q261" s="5">
        <v>46032.72152777778</v>
      </c>
      <c r="R261" s="2" t="s">
        <v>62</v>
      </c>
      <c r="S261" s="2" t="s">
        <v>51</v>
      </c>
      <c r="T261" s="2" t="s">
        <v>55</v>
      </c>
      <c r="U261" s="2" t="s">
        <v>56</v>
      </c>
      <c r="V261" s="2" t="s">
        <v>57</v>
      </c>
      <c r="W261" s="2" t="s">
        <v>58</v>
      </c>
      <c r="X261" s="2" t="s">
        <v>59</v>
      </c>
      <c r="Y261" s="1">
        <v>329.99</v>
      </c>
      <c r="Z261" s="1">
        <v>329.99</v>
      </c>
      <c r="AA261" s="1">
        <v>31.99</v>
      </c>
      <c r="AB261" s="1">
        <v>16.5</v>
      </c>
      <c r="AC261" s="1">
        <v>0</v>
      </c>
      <c r="AD261" s="1">
        <v>46.48</v>
      </c>
      <c r="AE261" s="1">
        <v>378.48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289.46490999999997</v>
      </c>
      <c r="AR261" s="1">
        <v>289.46490999999997</v>
      </c>
      <c r="AS261" s="1">
        <v>72.366230000000002</v>
      </c>
      <c r="AT261" s="1">
        <v>10.1312722</v>
      </c>
      <c r="AU261" s="1">
        <v>0</v>
      </c>
      <c r="AV261" s="2" t="s">
        <v>69</v>
      </c>
      <c r="AW261" s="1">
        <v>247.49199999999999</v>
      </c>
      <c r="AX261" s="1">
        <f>Table1[[#This Row],[Original Commissionable GMV]]-Table1[[#This Row],[Commission ]]-Table1[[#This Row],[Commission VAT]]-Table1[[#This Row],[FreeDeliveryFund]]</f>
        <v>206.96740779999996</v>
      </c>
      <c r="AY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M261" s="2"/>
    </row>
    <row r="262" spans="12:65" x14ac:dyDescent="0.25">
      <c r="L262" s="2">
        <v>504016</v>
      </c>
      <c r="M262" s="2" t="s">
        <v>52</v>
      </c>
      <c r="N262" s="2">
        <v>505837</v>
      </c>
      <c r="O262" t="s">
        <v>53</v>
      </c>
      <c r="P262">
        <v>3392202393</v>
      </c>
      <c r="Q262" s="5">
        <v>46032.726805555554</v>
      </c>
      <c r="R262" s="2" t="s">
        <v>62</v>
      </c>
      <c r="S262" s="2" t="s">
        <v>51</v>
      </c>
      <c r="T262" s="2" t="s">
        <v>55</v>
      </c>
      <c r="U262" s="2" t="s">
        <v>59</v>
      </c>
      <c r="V262" s="2" t="s">
        <v>57</v>
      </c>
      <c r="W262" s="2" t="s">
        <v>58</v>
      </c>
      <c r="X262" s="2" t="s">
        <v>59</v>
      </c>
      <c r="Y262" s="1">
        <v>614.54999999999995</v>
      </c>
      <c r="Z262" s="1">
        <v>614.54999999999995</v>
      </c>
      <c r="AA262" s="1">
        <v>30.99</v>
      </c>
      <c r="AB262" s="1">
        <v>29.99</v>
      </c>
      <c r="AC262" s="1">
        <v>0</v>
      </c>
      <c r="AD262" s="1">
        <v>82.959819999999993</v>
      </c>
      <c r="AE262" s="1">
        <v>675.53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539.07894999999996</v>
      </c>
      <c r="AR262" s="1">
        <v>539.07894999999996</v>
      </c>
      <c r="AS262" s="1">
        <v>134.76974000000001</v>
      </c>
      <c r="AT262" s="1">
        <v>18.8677636</v>
      </c>
      <c r="AU262" s="1">
        <v>0</v>
      </c>
      <c r="AV262" s="2" t="s">
        <v>69</v>
      </c>
      <c r="AW262" s="1">
        <v>460.91199999999998</v>
      </c>
      <c r="AX262" s="1">
        <f>Table1[[#This Row],[Original Commissionable GMV]]-Table1[[#This Row],[Commission ]]-Table1[[#This Row],[Commission VAT]]-Table1[[#This Row],[FreeDeliveryFund]]</f>
        <v>385.44144639999996</v>
      </c>
      <c r="AY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M262" s="2"/>
    </row>
    <row r="263" spans="12:65" x14ac:dyDescent="0.25">
      <c r="L263" s="2">
        <v>504016</v>
      </c>
      <c r="M263" s="2" t="s">
        <v>52</v>
      </c>
      <c r="N263" s="2">
        <v>505837</v>
      </c>
      <c r="O263" t="s">
        <v>63</v>
      </c>
      <c r="P263">
        <v>3392232791</v>
      </c>
      <c r="Q263" s="5">
        <v>46032.736064814817</v>
      </c>
      <c r="R263" s="2" t="s">
        <v>54</v>
      </c>
      <c r="S263" s="2" t="s">
        <v>51</v>
      </c>
      <c r="T263" s="2" t="s">
        <v>55</v>
      </c>
      <c r="U263" s="2" t="s">
        <v>59</v>
      </c>
      <c r="V263" s="2" t="s">
        <v>57</v>
      </c>
      <c r="W263" s="2" t="s">
        <v>58</v>
      </c>
      <c r="X263" s="2" t="s">
        <v>59</v>
      </c>
      <c r="Y263" s="1">
        <v>328.98</v>
      </c>
      <c r="Z263" s="1">
        <v>328.98</v>
      </c>
      <c r="AA263" s="1">
        <v>7</v>
      </c>
      <c r="AB263" s="1">
        <v>16.45</v>
      </c>
      <c r="AC263" s="1">
        <v>0</v>
      </c>
      <c r="AD263" s="1">
        <v>43.280880000000003</v>
      </c>
      <c r="AE263" s="1">
        <v>352.43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5.7571500000000002</v>
      </c>
      <c r="AP263" s="1">
        <v>0.80600099999999997</v>
      </c>
      <c r="AQ263" s="1">
        <v>288.57895000000002</v>
      </c>
      <c r="AR263" s="1">
        <v>288.57895000000002</v>
      </c>
      <c r="AS263" s="1">
        <v>72.144739999999999</v>
      </c>
      <c r="AT263" s="1">
        <v>10.1002636</v>
      </c>
      <c r="AU263" s="1">
        <v>26.99</v>
      </c>
      <c r="AV263" s="2" t="s">
        <v>60</v>
      </c>
      <c r="AW263" s="1">
        <v>213.18199999999999</v>
      </c>
      <c r="AX263" s="1">
        <f>Table1[[#This Row],[Original Commissionable GMV]]-Table1[[#This Row],[Commission ]]-Table1[[#This Row],[Commission VAT]]-Table1[[#This Row],[FreeDeliveryFund]]</f>
        <v>179.34394639999999</v>
      </c>
      <c r="AY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M263" s="2"/>
    </row>
    <row r="264" spans="12:65" x14ac:dyDescent="0.25">
      <c r="L264" s="2">
        <v>504016</v>
      </c>
      <c r="M264" s="2" t="s">
        <v>52</v>
      </c>
      <c r="N264" s="2">
        <v>505837</v>
      </c>
      <c r="O264" t="s">
        <v>53</v>
      </c>
      <c r="P264">
        <v>3392250481</v>
      </c>
      <c r="Q264" s="5">
        <v>46032.741365740738</v>
      </c>
      <c r="R264" s="2" t="s">
        <v>54</v>
      </c>
      <c r="S264" s="2" t="s">
        <v>51</v>
      </c>
      <c r="T264" s="2" t="s">
        <v>55</v>
      </c>
      <c r="U264" s="2" t="s">
        <v>59</v>
      </c>
      <c r="V264" s="2" t="s">
        <v>57</v>
      </c>
      <c r="W264" s="2" t="s">
        <v>58</v>
      </c>
      <c r="X264" s="2" t="s">
        <v>59</v>
      </c>
      <c r="Y264" s="1">
        <v>1007.89</v>
      </c>
      <c r="Z264" s="1">
        <v>1007.89</v>
      </c>
      <c r="AA264" s="1">
        <v>9</v>
      </c>
      <c r="AB264" s="1">
        <v>29.99</v>
      </c>
      <c r="AC264" s="1">
        <v>0</v>
      </c>
      <c r="AD264" s="1">
        <v>128.56421</v>
      </c>
      <c r="AE264" s="1">
        <v>1046.8800000000001</v>
      </c>
      <c r="AG264" s="1">
        <v>0</v>
      </c>
      <c r="AH264" s="1">
        <v>0</v>
      </c>
      <c r="AI264" s="1">
        <v>132.24</v>
      </c>
      <c r="AJ264" s="1">
        <v>0</v>
      </c>
      <c r="AK264" s="1">
        <v>132.24</v>
      </c>
      <c r="AL264" s="1">
        <v>0</v>
      </c>
      <c r="AM264" s="1">
        <v>0</v>
      </c>
      <c r="AN264" s="1">
        <v>0</v>
      </c>
      <c r="AO264" s="1">
        <v>17.638075000000001</v>
      </c>
      <c r="AP264" s="1">
        <v>2.4693304999999999</v>
      </c>
      <c r="AQ264" s="1">
        <v>884.11404000000005</v>
      </c>
      <c r="AR264" s="1">
        <v>884.11404000000005</v>
      </c>
      <c r="AS264" s="1">
        <v>221.02851000000001</v>
      </c>
      <c r="AT264" s="1">
        <v>30.943991400000002</v>
      </c>
      <c r="AU264" s="1">
        <v>32.99</v>
      </c>
      <c r="AV264" s="2" t="s">
        <v>60</v>
      </c>
      <c r="AW264" s="1">
        <v>702.82</v>
      </c>
      <c r="AX264" s="1">
        <f>Table1[[#This Row],[Original Commissionable GMV]]-Table1[[#This Row],[Commission ]]-Table1[[#This Row],[Commission VAT]]-Table1[[#This Row],[FreeDeliveryFund]]</f>
        <v>599.15153860000009</v>
      </c>
      <c r="AY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M264" s="2"/>
    </row>
    <row r="265" spans="12:65" x14ac:dyDescent="0.25">
      <c r="L265" s="2">
        <v>504016</v>
      </c>
      <c r="M265" s="2" t="s">
        <v>52</v>
      </c>
      <c r="N265" s="2">
        <v>505837</v>
      </c>
      <c r="O265" t="s">
        <v>53</v>
      </c>
      <c r="P265">
        <v>3392257943</v>
      </c>
      <c r="Q265" s="5">
        <v>46032.743587962963</v>
      </c>
      <c r="R265" s="2" t="s">
        <v>66</v>
      </c>
      <c r="S265" s="2" t="s">
        <v>51</v>
      </c>
      <c r="T265" s="2" t="s">
        <v>55</v>
      </c>
      <c r="U265" s="2" t="s">
        <v>56</v>
      </c>
      <c r="V265" s="2" t="s">
        <v>57</v>
      </c>
      <c r="W265" s="2" t="s">
        <v>58</v>
      </c>
      <c r="X265" s="2" t="s">
        <v>59</v>
      </c>
      <c r="Y265" s="1">
        <v>728.99</v>
      </c>
      <c r="Z265" s="1">
        <v>728.99</v>
      </c>
      <c r="AA265" s="1">
        <v>40.99</v>
      </c>
      <c r="AB265" s="1">
        <v>29.99</v>
      </c>
      <c r="AC265" s="1">
        <v>0</v>
      </c>
      <c r="AD265" s="1">
        <v>98.241929999999996</v>
      </c>
      <c r="AE265" s="1">
        <v>799.97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12.757325</v>
      </c>
      <c r="AP265" s="1">
        <v>1.7860255</v>
      </c>
      <c r="AQ265" s="1">
        <v>639.46491000000003</v>
      </c>
      <c r="AR265" s="1">
        <v>639.46491000000003</v>
      </c>
      <c r="AS265" s="1">
        <v>159.86623</v>
      </c>
      <c r="AT265" s="1">
        <v>22.381272200000002</v>
      </c>
      <c r="AU265" s="1">
        <v>0</v>
      </c>
      <c r="AV265" s="2" t="s">
        <v>69</v>
      </c>
      <c r="AW265" s="1">
        <v>532.19899999999996</v>
      </c>
      <c r="AX265" s="1">
        <f>Table1[[#This Row],[Original Commissionable GMV]]-Table1[[#This Row],[Commission ]]-Table1[[#This Row],[Commission VAT]]-Table1[[#This Row],[FreeDeliveryFund]]</f>
        <v>457.21740780000005</v>
      </c>
      <c r="AY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M265" s="2"/>
    </row>
    <row r="266" spans="12:65" x14ac:dyDescent="0.25">
      <c r="L266" s="2">
        <v>504016</v>
      </c>
      <c r="M266" s="2" t="s">
        <v>52</v>
      </c>
      <c r="N266" s="2">
        <v>505839</v>
      </c>
      <c r="O266" t="s">
        <v>63</v>
      </c>
      <c r="P266">
        <v>3392273362</v>
      </c>
      <c r="Q266" s="5">
        <v>46032.748124999998</v>
      </c>
      <c r="R266" s="2" t="s">
        <v>54</v>
      </c>
      <c r="S266" s="2" t="s">
        <v>51</v>
      </c>
      <c r="T266" s="2" t="s">
        <v>55</v>
      </c>
      <c r="U266" s="2" t="s">
        <v>56</v>
      </c>
      <c r="V266" s="2" t="s">
        <v>57</v>
      </c>
      <c r="W266" s="2" t="s">
        <v>58</v>
      </c>
      <c r="X266" s="2" t="s">
        <v>59</v>
      </c>
      <c r="Y266" s="1">
        <v>554.99</v>
      </c>
      <c r="Z266" s="1">
        <v>554.99</v>
      </c>
      <c r="AA266" s="1">
        <v>0</v>
      </c>
      <c r="AB266" s="1">
        <v>27.75</v>
      </c>
      <c r="AC266" s="1">
        <v>0</v>
      </c>
      <c r="AD266" s="1">
        <v>71.56456</v>
      </c>
      <c r="AE266" s="1">
        <v>582.74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9.7123249999999999</v>
      </c>
      <c r="AP266" s="1">
        <v>1.3597254999999999</v>
      </c>
      <c r="AQ266" s="1">
        <v>486.83332999999999</v>
      </c>
      <c r="AR266" s="1">
        <v>486.83332999999999</v>
      </c>
      <c r="AS266" s="1">
        <v>121.70833</v>
      </c>
      <c r="AT266" s="1">
        <v>17.0391662</v>
      </c>
      <c r="AU266" s="1">
        <v>29.99</v>
      </c>
      <c r="AV266" s="2" t="s">
        <v>60</v>
      </c>
      <c r="AW266" s="1">
        <v>375.18</v>
      </c>
      <c r="AX266" s="1">
        <f>Table1[[#This Row],[Original Commissionable GMV]]-Table1[[#This Row],[Commission ]]-Table1[[#This Row],[Commission VAT]]-Table1[[#This Row],[FreeDeliveryFund]]</f>
        <v>318.09583379999998</v>
      </c>
      <c r="AY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M266" s="2"/>
    </row>
    <row r="267" spans="12:65" x14ac:dyDescent="0.25">
      <c r="L267" s="2">
        <v>504016</v>
      </c>
      <c r="M267" s="2" t="s">
        <v>52</v>
      </c>
      <c r="N267" s="2">
        <v>505839</v>
      </c>
      <c r="O267" t="s">
        <v>53</v>
      </c>
      <c r="P267">
        <v>3392276694</v>
      </c>
      <c r="Q267" s="5">
        <v>46032.749131944445</v>
      </c>
      <c r="R267" s="2" t="s">
        <v>62</v>
      </c>
      <c r="S267" s="2" t="s">
        <v>51</v>
      </c>
      <c r="T267" s="2" t="s">
        <v>55</v>
      </c>
      <c r="U267" s="2" t="s">
        <v>56</v>
      </c>
      <c r="V267" s="2" t="s">
        <v>57</v>
      </c>
      <c r="W267" s="2" t="s">
        <v>58</v>
      </c>
      <c r="X267" s="2" t="s">
        <v>59</v>
      </c>
      <c r="Y267" s="1">
        <v>475.98</v>
      </c>
      <c r="Z267" s="1">
        <v>475.98</v>
      </c>
      <c r="AA267" s="1">
        <v>0</v>
      </c>
      <c r="AB267" s="1">
        <v>23.8</v>
      </c>
      <c r="AC267" s="1">
        <v>0</v>
      </c>
      <c r="AD267" s="1">
        <v>61.376489999999997</v>
      </c>
      <c r="AE267" s="1">
        <v>499.78</v>
      </c>
      <c r="AG267" s="1">
        <v>0</v>
      </c>
      <c r="AH267" s="1">
        <v>0</v>
      </c>
      <c r="AI267" s="1">
        <v>0</v>
      </c>
      <c r="AJ267" s="1">
        <v>73.5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417.52632</v>
      </c>
      <c r="AR267" s="1">
        <v>417.52632</v>
      </c>
      <c r="AS267" s="1">
        <v>104.38158</v>
      </c>
      <c r="AT267" s="1">
        <v>14.613421199999999</v>
      </c>
      <c r="AU267" s="1">
        <v>31.99</v>
      </c>
      <c r="AV267" s="2" t="s">
        <v>60</v>
      </c>
      <c r="AW267" s="1">
        <v>324.995</v>
      </c>
      <c r="AX267" s="1">
        <f>Table1[[#This Row],[Original Commissionable GMV]]-Table1[[#This Row],[Commission ]]-Table1[[#This Row],[Commission VAT]]-Table1[[#This Row],[FreeDeliveryFund]]</f>
        <v>266.5413188</v>
      </c>
      <c r="AY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M267" s="2"/>
    </row>
    <row r="268" spans="12:65" x14ac:dyDescent="0.25">
      <c r="L268" s="2">
        <v>504016</v>
      </c>
      <c r="M268" s="2" t="s">
        <v>52</v>
      </c>
      <c r="N268" s="2">
        <v>505837</v>
      </c>
      <c r="O268" t="s">
        <v>63</v>
      </c>
      <c r="P268">
        <v>3392385152</v>
      </c>
      <c r="Q268" s="5">
        <v>46032.780509259261</v>
      </c>
      <c r="R268" s="2" t="s">
        <v>54</v>
      </c>
      <c r="S268" s="2" t="s">
        <v>51</v>
      </c>
      <c r="T268" s="2" t="s">
        <v>55</v>
      </c>
      <c r="U268" s="2" t="s">
        <v>59</v>
      </c>
      <c r="V268" s="2" t="s">
        <v>57</v>
      </c>
      <c r="W268" s="2" t="s">
        <v>58</v>
      </c>
      <c r="X268" s="2" t="s">
        <v>59</v>
      </c>
      <c r="Y268" s="1">
        <v>1307.6400000000001</v>
      </c>
      <c r="Z268" s="1">
        <v>1307.6400000000001</v>
      </c>
      <c r="AA268" s="1">
        <v>36.99</v>
      </c>
      <c r="AB268" s="1">
        <v>29.99</v>
      </c>
      <c r="AC268" s="1">
        <v>0</v>
      </c>
      <c r="AD268" s="1">
        <v>168.81298000000001</v>
      </c>
      <c r="AE268" s="1">
        <v>1374.62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40.049999999999997</v>
      </c>
      <c r="AM268" s="1">
        <v>0</v>
      </c>
      <c r="AN268" s="1">
        <v>0</v>
      </c>
      <c r="AO268" s="1">
        <v>22.883700000000001</v>
      </c>
      <c r="AP268" s="1">
        <v>3.2037179999999998</v>
      </c>
      <c r="AQ268" s="1">
        <v>1147.0526299999999</v>
      </c>
      <c r="AR268" s="1">
        <v>1147.0526299999999</v>
      </c>
      <c r="AS268" s="1">
        <v>286.76316000000003</v>
      </c>
      <c r="AT268" s="1">
        <v>40.146842399999997</v>
      </c>
      <c r="AU268" s="1">
        <v>0</v>
      </c>
      <c r="AV268" s="2" t="s">
        <v>69</v>
      </c>
      <c r="AW268" s="1">
        <v>954.64300000000003</v>
      </c>
      <c r="AX268" s="1">
        <f>Table1[[#This Row],[Original Commissionable GMV]]-Table1[[#This Row],[Commission ]]-Table1[[#This Row],[Commission VAT]]-Table1[[#This Row],[FreeDeliveryFund]]</f>
        <v>820.14262759999997</v>
      </c>
      <c r="AY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M268" s="2"/>
    </row>
    <row r="269" spans="12:65" x14ac:dyDescent="0.25">
      <c r="L269" s="2">
        <v>504016</v>
      </c>
      <c r="M269" s="2" t="s">
        <v>52</v>
      </c>
      <c r="N269" s="2">
        <v>505837</v>
      </c>
      <c r="O269" t="s">
        <v>53</v>
      </c>
      <c r="P269">
        <v>3392405447</v>
      </c>
      <c r="Q269" s="5">
        <v>46032.786319444444</v>
      </c>
      <c r="R269" s="2" t="s">
        <v>62</v>
      </c>
      <c r="S269" s="2" t="s">
        <v>51</v>
      </c>
      <c r="T269" s="2" t="s">
        <v>55</v>
      </c>
      <c r="U269" s="2" t="s">
        <v>56</v>
      </c>
      <c r="V269" s="2" t="s">
        <v>57</v>
      </c>
      <c r="W269" s="2" t="s">
        <v>58</v>
      </c>
      <c r="X269" s="2" t="s">
        <v>59</v>
      </c>
      <c r="Y269" s="1">
        <v>717.98</v>
      </c>
      <c r="Z269" s="1">
        <v>717.98</v>
      </c>
      <c r="AA269" s="1">
        <v>0</v>
      </c>
      <c r="AB269" s="1">
        <v>29.99</v>
      </c>
      <c r="AC269" s="1">
        <v>0</v>
      </c>
      <c r="AD269" s="1">
        <v>91.855959999999996</v>
      </c>
      <c r="AE269" s="1">
        <v>747.97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629.80701999999997</v>
      </c>
      <c r="AR269" s="1">
        <v>629.80701999999997</v>
      </c>
      <c r="AS269" s="1">
        <v>157.45176000000001</v>
      </c>
      <c r="AT269" s="1">
        <v>22.043246400000001</v>
      </c>
      <c r="AU269" s="1">
        <v>33.99</v>
      </c>
      <c r="AV269" s="2" t="s">
        <v>60</v>
      </c>
      <c r="AW269" s="1">
        <v>504.495</v>
      </c>
      <c r="AX269" s="1">
        <f>Table1[[#This Row],[Original Commissionable GMV]]-Table1[[#This Row],[Commission ]]-Table1[[#This Row],[Commission VAT]]-Table1[[#This Row],[FreeDeliveryFund]]</f>
        <v>416.32201359999993</v>
      </c>
      <c r="AY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M269" s="2"/>
    </row>
    <row r="270" spans="12:65" x14ac:dyDescent="0.25">
      <c r="L270" s="2">
        <v>504016</v>
      </c>
      <c r="M270" s="2" t="s">
        <v>52</v>
      </c>
      <c r="N270" s="2">
        <v>505837</v>
      </c>
      <c r="O270" t="s">
        <v>65</v>
      </c>
      <c r="P270">
        <v>3392411452</v>
      </c>
      <c r="Q270" s="5">
        <v>46032.788078703707</v>
      </c>
      <c r="R270" s="2" t="s">
        <v>54</v>
      </c>
      <c r="S270" s="2" t="s">
        <v>51</v>
      </c>
      <c r="T270" s="2" t="s">
        <v>55</v>
      </c>
      <c r="U270" s="2" t="s">
        <v>56</v>
      </c>
      <c r="V270" s="2" t="s">
        <v>57</v>
      </c>
      <c r="W270" s="2" t="s">
        <v>58</v>
      </c>
      <c r="X270" s="2" t="s">
        <v>59</v>
      </c>
      <c r="Y270" s="1">
        <v>1208.98</v>
      </c>
      <c r="Z270" s="1">
        <v>1208.98</v>
      </c>
      <c r="AA270" s="1">
        <v>28.99</v>
      </c>
      <c r="AB270" s="1">
        <v>29.99</v>
      </c>
      <c r="AC270" s="1">
        <v>0</v>
      </c>
      <c r="AD270" s="1">
        <v>155.71439000000001</v>
      </c>
      <c r="AE270" s="1">
        <v>1267.96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21.157150000000001</v>
      </c>
      <c r="AP270" s="1">
        <v>2.9620009999999999</v>
      </c>
      <c r="AQ270" s="1">
        <v>1060.5087699999999</v>
      </c>
      <c r="AR270" s="1">
        <v>1060.5087699999999</v>
      </c>
      <c r="AS270" s="1">
        <v>265.12718999999998</v>
      </c>
      <c r="AT270" s="1">
        <v>37.117806600000002</v>
      </c>
      <c r="AU270" s="1">
        <v>0</v>
      </c>
      <c r="AV270" s="2" t="s">
        <v>69</v>
      </c>
      <c r="AW270" s="1">
        <v>882.61599999999999</v>
      </c>
      <c r="AX270" s="1">
        <f>Table1[[#This Row],[Original Commissionable GMV]]-Table1[[#This Row],[Commission ]]-Table1[[#This Row],[Commission VAT]]-Table1[[#This Row],[FreeDeliveryFund]]</f>
        <v>758.26377339999999</v>
      </c>
      <c r="AY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M270" s="2"/>
    </row>
    <row r="271" spans="12:65" x14ac:dyDescent="0.25">
      <c r="L271" s="2">
        <v>504016</v>
      </c>
      <c r="M271" s="2" t="s">
        <v>52</v>
      </c>
      <c r="N271" s="2">
        <v>505837</v>
      </c>
      <c r="O271" t="s">
        <v>65</v>
      </c>
      <c r="P271">
        <v>3392416653</v>
      </c>
      <c r="Q271" s="5">
        <v>46032.789583333331</v>
      </c>
      <c r="R271" s="2" t="s">
        <v>62</v>
      </c>
      <c r="S271" s="2" t="s">
        <v>51</v>
      </c>
      <c r="T271" s="2" t="s">
        <v>55</v>
      </c>
      <c r="U271" s="2" t="s">
        <v>56</v>
      </c>
      <c r="V271" s="2" t="s">
        <v>57</v>
      </c>
      <c r="W271" s="2" t="s">
        <v>58</v>
      </c>
      <c r="X271" s="2" t="s">
        <v>59</v>
      </c>
      <c r="Y271" s="1">
        <v>909.63</v>
      </c>
      <c r="Z271" s="1">
        <v>909.63</v>
      </c>
      <c r="AA271" s="1">
        <v>7</v>
      </c>
      <c r="AB271" s="1">
        <v>29.99</v>
      </c>
      <c r="AC271" s="1">
        <v>0</v>
      </c>
      <c r="AD271" s="1">
        <v>116.25158</v>
      </c>
      <c r="AE271" s="1">
        <v>946.62</v>
      </c>
      <c r="AG271" s="1">
        <v>0</v>
      </c>
      <c r="AH271" s="1">
        <v>0</v>
      </c>
      <c r="AI271" s="1">
        <v>132.24</v>
      </c>
      <c r="AJ271" s="1">
        <v>0</v>
      </c>
      <c r="AK271" s="1">
        <v>132.24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797.92105000000004</v>
      </c>
      <c r="AR271" s="1">
        <v>797.92105000000004</v>
      </c>
      <c r="AS271" s="1">
        <v>199.48025999999999</v>
      </c>
      <c r="AT271" s="1">
        <v>27.927236400000002</v>
      </c>
      <c r="AU271" s="1">
        <v>0</v>
      </c>
      <c r="AV271" s="2" t="s">
        <v>69</v>
      </c>
      <c r="AW271" s="1">
        <v>682.22299999999996</v>
      </c>
      <c r="AX271" s="1">
        <f>Table1[[#This Row],[Original Commissionable GMV]]-Table1[[#This Row],[Commission ]]-Table1[[#This Row],[Commission VAT]]-Table1[[#This Row],[FreeDeliveryFund]]</f>
        <v>570.51355360000014</v>
      </c>
      <c r="AY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M271" s="2"/>
    </row>
    <row r="272" spans="12:65" x14ac:dyDescent="0.25">
      <c r="L272" s="2">
        <v>504016</v>
      </c>
      <c r="M272" s="2" t="s">
        <v>52</v>
      </c>
      <c r="N272" s="2">
        <v>505837</v>
      </c>
      <c r="O272" t="s">
        <v>63</v>
      </c>
      <c r="P272">
        <v>3392463709</v>
      </c>
      <c r="Q272" s="5">
        <v>46032.803310185183</v>
      </c>
      <c r="R272" s="2" t="s">
        <v>54</v>
      </c>
      <c r="S272" s="2" t="s">
        <v>51</v>
      </c>
      <c r="T272" s="2" t="s">
        <v>55</v>
      </c>
      <c r="U272" s="2" t="s">
        <v>59</v>
      </c>
      <c r="V272" s="2" t="s">
        <v>57</v>
      </c>
      <c r="W272" s="2" t="s">
        <v>58</v>
      </c>
      <c r="X272" s="2" t="s">
        <v>59</v>
      </c>
      <c r="Y272" s="1">
        <v>897.93</v>
      </c>
      <c r="Z272" s="1">
        <v>897.93</v>
      </c>
      <c r="AA272" s="1">
        <v>0</v>
      </c>
      <c r="AB272" s="1">
        <v>29.99</v>
      </c>
      <c r="AC272" s="1">
        <v>0</v>
      </c>
      <c r="AD272" s="1">
        <v>113.95509</v>
      </c>
      <c r="AE272" s="1">
        <v>927.92</v>
      </c>
      <c r="AG272" s="1">
        <v>245.99</v>
      </c>
      <c r="AH272" s="1">
        <v>0</v>
      </c>
      <c r="AI272" s="1">
        <v>0</v>
      </c>
      <c r="AJ272" s="1">
        <v>200</v>
      </c>
      <c r="AK272" s="1">
        <v>0</v>
      </c>
      <c r="AL272" s="1">
        <v>0</v>
      </c>
      <c r="AM272" s="1">
        <v>0</v>
      </c>
      <c r="AN272" s="1">
        <v>0</v>
      </c>
      <c r="AO272" s="1">
        <v>15.713775</v>
      </c>
      <c r="AP272" s="1">
        <v>2.1999285</v>
      </c>
      <c r="AQ272" s="1">
        <v>787.65788999999995</v>
      </c>
      <c r="AR272" s="1">
        <v>787.65788999999995</v>
      </c>
      <c r="AS272" s="1">
        <v>196.91446999999999</v>
      </c>
      <c r="AT272" s="1">
        <v>27.568025800000001</v>
      </c>
      <c r="AU272" s="1">
        <v>30.99</v>
      </c>
      <c r="AV272" s="2" t="s">
        <v>60</v>
      </c>
      <c r="AW272" s="1">
        <v>624.54399999999998</v>
      </c>
      <c r="AX272" s="1">
        <f>Table1[[#This Row],[Original Commissionable GMV]]-Table1[[#This Row],[Commission ]]-Table1[[#This Row],[Commission VAT]]-Table1[[#This Row],[FreeDeliveryFund]]</f>
        <v>532.18539420000002</v>
      </c>
      <c r="AY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M272" s="2"/>
    </row>
    <row r="273" spans="12:65" x14ac:dyDescent="0.25">
      <c r="L273" s="2">
        <v>504016</v>
      </c>
      <c r="M273" s="2" t="s">
        <v>52</v>
      </c>
      <c r="N273" s="2">
        <v>505839</v>
      </c>
      <c r="O273" t="s">
        <v>63</v>
      </c>
      <c r="P273">
        <v>3392466043</v>
      </c>
      <c r="Q273" s="5">
        <v>46032.803981481484</v>
      </c>
      <c r="R273" s="2" t="s">
        <v>54</v>
      </c>
      <c r="S273" s="2" t="s">
        <v>51</v>
      </c>
      <c r="T273" s="2" t="s">
        <v>55</v>
      </c>
      <c r="U273" s="2" t="s">
        <v>56</v>
      </c>
      <c r="V273" s="2" t="s">
        <v>57</v>
      </c>
      <c r="W273" s="2" t="s">
        <v>58</v>
      </c>
      <c r="X273" s="2" t="s">
        <v>59</v>
      </c>
      <c r="Y273" s="1">
        <v>816.98</v>
      </c>
      <c r="Z273" s="1">
        <v>816.98</v>
      </c>
      <c r="AA273" s="1">
        <v>36.99</v>
      </c>
      <c r="AB273" s="1">
        <v>29.99</v>
      </c>
      <c r="AC273" s="1">
        <v>0</v>
      </c>
      <c r="AD273" s="1">
        <v>108.55649</v>
      </c>
      <c r="AE273" s="1">
        <v>883.96</v>
      </c>
      <c r="AG273" s="1">
        <v>0</v>
      </c>
      <c r="AH273" s="1">
        <v>0</v>
      </c>
      <c r="AI273" s="1">
        <v>132.24</v>
      </c>
      <c r="AJ273" s="1">
        <v>0</v>
      </c>
      <c r="AK273" s="1">
        <v>132.24</v>
      </c>
      <c r="AL273" s="1">
        <v>0</v>
      </c>
      <c r="AM273" s="1">
        <v>0</v>
      </c>
      <c r="AN273" s="1">
        <v>0</v>
      </c>
      <c r="AO273" s="1">
        <v>14.29715</v>
      </c>
      <c r="AP273" s="1">
        <v>2.001601</v>
      </c>
      <c r="AQ273" s="1">
        <v>716.64912000000004</v>
      </c>
      <c r="AR273" s="1">
        <v>716.64912000000004</v>
      </c>
      <c r="AS273" s="1">
        <v>179.16228000000001</v>
      </c>
      <c r="AT273" s="1">
        <v>25.0827192</v>
      </c>
      <c r="AU273" s="1">
        <v>0</v>
      </c>
      <c r="AV273" s="2" t="s">
        <v>69</v>
      </c>
      <c r="AW273" s="1">
        <v>596.43600000000004</v>
      </c>
      <c r="AX273" s="1">
        <f>Table1[[#This Row],[Original Commissionable GMV]]-Table1[[#This Row],[Commission ]]-Table1[[#This Row],[Commission VAT]]-Table1[[#This Row],[FreeDeliveryFund]]</f>
        <v>512.40412079999999</v>
      </c>
      <c r="AY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M273" s="2"/>
    </row>
    <row r="274" spans="12:65" x14ac:dyDescent="0.25">
      <c r="L274" s="2">
        <v>504016</v>
      </c>
      <c r="M274" s="2" t="s">
        <v>52</v>
      </c>
      <c r="N274" s="2">
        <v>505839</v>
      </c>
      <c r="O274" t="s">
        <v>63</v>
      </c>
      <c r="P274">
        <v>3392492381</v>
      </c>
      <c r="Q274" s="5">
        <v>46032.811747685184</v>
      </c>
      <c r="R274" s="2" t="s">
        <v>54</v>
      </c>
      <c r="S274" s="2" t="s">
        <v>51</v>
      </c>
      <c r="T274" s="2" t="s">
        <v>55</v>
      </c>
      <c r="U274" s="2" t="s">
        <v>59</v>
      </c>
      <c r="V274" s="2" t="s">
        <v>57</v>
      </c>
      <c r="W274" s="2" t="s">
        <v>58</v>
      </c>
      <c r="X274" s="2" t="s">
        <v>59</v>
      </c>
      <c r="Y274" s="1">
        <v>319.99</v>
      </c>
      <c r="Z274" s="1">
        <v>319.99</v>
      </c>
      <c r="AA274" s="1">
        <v>26.99</v>
      </c>
      <c r="AB274" s="1">
        <v>16</v>
      </c>
      <c r="AC274" s="1">
        <v>0</v>
      </c>
      <c r="AD274" s="1">
        <v>44.57649</v>
      </c>
      <c r="AE274" s="1">
        <v>362.98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300</v>
      </c>
      <c r="AM274" s="1">
        <v>0</v>
      </c>
      <c r="AN274" s="1">
        <v>0</v>
      </c>
      <c r="AO274" s="1">
        <v>5.5998250000000001</v>
      </c>
      <c r="AP274" s="1">
        <v>0.78397550000000005</v>
      </c>
      <c r="AQ274" s="1">
        <v>280.69297999999998</v>
      </c>
      <c r="AR274" s="1">
        <v>280.69297999999998</v>
      </c>
      <c r="AS274" s="1">
        <v>70.173249999999996</v>
      </c>
      <c r="AT274" s="1">
        <v>9.8242550000000008</v>
      </c>
      <c r="AU274" s="1">
        <v>0</v>
      </c>
      <c r="AV274" s="2" t="s">
        <v>69</v>
      </c>
      <c r="AW274" s="1">
        <v>233.60900000000001</v>
      </c>
      <c r="AX274" s="1">
        <f>Table1[[#This Row],[Original Commissionable GMV]]-Table1[[#This Row],[Commission ]]-Table1[[#This Row],[Commission VAT]]-Table1[[#This Row],[FreeDeliveryFund]]</f>
        <v>200.69547499999999</v>
      </c>
      <c r="AY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M274" s="2"/>
    </row>
    <row r="275" spans="12:65" x14ac:dyDescent="0.25">
      <c r="L275" s="2">
        <v>504016</v>
      </c>
      <c r="M275" s="2" t="s">
        <v>52</v>
      </c>
      <c r="N275" s="2">
        <v>505837</v>
      </c>
      <c r="O275" t="s">
        <v>53</v>
      </c>
      <c r="P275">
        <v>3392517266</v>
      </c>
      <c r="Q275" s="5">
        <v>46032.819293981483</v>
      </c>
      <c r="R275" s="2" t="s">
        <v>54</v>
      </c>
      <c r="S275" s="2" t="s">
        <v>51</v>
      </c>
      <c r="T275" s="2" t="s">
        <v>55</v>
      </c>
      <c r="U275" s="2" t="s">
        <v>56</v>
      </c>
      <c r="V275" s="2" t="s">
        <v>57</v>
      </c>
      <c r="W275" s="2" t="s">
        <v>58</v>
      </c>
      <c r="X275" s="2" t="s">
        <v>59</v>
      </c>
      <c r="Y275" s="1">
        <v>353.99</v>
      </c>
      <c r="Z275" s="1">
        <v>353.99</v>
      </c>
      <c r="AA275" s="1">
        <v>40.99</v>
      </c>
      <c r="AB275" s="1">
        <v>17.7</v>
      </c>
      <c r="AC275" s="1">
        <v>0</v>
      </c>
      <c r="AD275" s="1">
        <v>50.68</v>
      </c>
      <c r="AE275" s="1">
        <v>412.68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6.1948249999999998</v>
      </c>
      <c r="AP275" s="1">
        <v>0.86727549999999998</v>
      </c>
      <c r="AQ275" s="1">
        <v>310.51754</v>
      </c>
      <c r="AR275" s="1">
        <v>310.51754</v>
      </c>
      <c r="AS275" s="1">
        <v>77.629390000000001</v>
      </c>
      <c r="AT275" s="1">
        <v>10.8681146</v>
      </c>
      <c r="AU275" s="1">
        <v>0</v>
      </c>
      <c r="AV275" s="2" t="s">
        <v>69</v>
      </c>
      <c r="AW275" s="1">
        <v>258.43</v>
      </c>
      <c r="AX275" s="1">
        <f>Table1[[#This Row],[Original Commissionable GMV]]-Table1[[#This Row],[Commission ]]-Table1[[#This Row],[Commission VAT]]-Table1[[#This Row],[FreeDeliveryFund]]</f>
        <v>222.02003539999998</v>
      </c>
      <c r="AY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M275" s="2"/>
    </row>
    <row r="276" spans="12:65" x14ac:dyDescent="0.25">
      <c r="L276" s="2">
        <v>504016</v>
      </c>
      <c r="M276" s="2" t="s">
        <v>52</v>
      </c>
      <c r="N276" s="2">
        <v>505835</v>
      </c>
      <c r="O276" t="s">
        <v>65</v>
      </c>
      <c r="P276">
        <v>3392551608</v>
      </c>
      <c r="Q276" s="5">
        <v>46032.829780092594</v>
      </c>
      <c r="R276" s="2" t="s">
        <v>62</v>
      </c>
      <c r="S276" s="2" t="s">
        <v>51</v>
      </c>
      <c r="T276" s="2" t="s">
        <v>55</v>
      </c>
      <c r="U276" s="2" t="s">
        <v>59</v>
      </c>
      <c r="V276" s="2" t="s">
        <v>57</v>
      </c>
      <c r="W276" s="2" t="s">
        <v>58</v>
      </c>
      <c r="X276" s="2" t="s">
        <v>59</v>
      </c>
      <c r="Y276" s="1">
        <v>319.26</v>
      </c>
      <c r="Z276" s="1">
        <v>319.26</v>
      </c>
      <c r="AA276" s="1">
        <v>0</v>
      </c>
      <c r="AB276" s="1">
        <v>15.96</v>
      </c>
      <c r="AC276" s="1">
        <v>0</v>
      </c>
      <c r="AD276" s="1">
        <v>41.167369999999998</v>
      </c>
      <c r="AE276" s="1">
        <v>335.22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280.05263000000002</v>
      </c>
      <c r="AR276" s="1">
        <v>280.05263000000002</v>
      </c>
      <c r="AS276" s="1">
        <v>70.013159999999999</v>
      </c>
      <c r="AT276" s="1">
        <v>9.8018424</v>
      </c>
      <c r="AU276" s="1">
        <v>28.99</v>
      </c>
      <c r="AV276" s="2" t="s">
        <v>60</v>
      </c>
      <c r="AW276" s="1">
        <v>210.45500000000001</v>
      </c>
      <c r="AX276" s="1">
        <f>Table1[[#This Row],[Original Commissionable GMV]]-Table1[[#This Row],[Commission ]]-Table1[[#This Row],[Commission VAT]]-Table1[[#This Row],[FreeDeliveryFund]]</f>
        <v>171.24762760000002</v>
      </c>
      <c r="AY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M276" s="2"/>
    </row>
    <row r="277" spans="12:65" x14ac:dyDescent="0.25">
      <c r="L277" s="2">
        <v>504016</v>
      </c>
      <c r="M277" s="2" t="s">
        <v>52</v>
      </c>
      <c r="N277" s="2">
        <v>505837</v>
      </c>
      <c r="O277" t="s">
        <v>63</v>
      </c>
      <c r="P277">
        <v>3392564912</v>
      </c>
      <c r="Q277" s="5">
        <v>46032.83390046296</v>
      </c>
      <c r="R277" s="2" t="s">
        <v>66</v>
      </c>
      <c r="S277" s="2" t="s">
        <v>51</v>
      </c>
      <c r="T277" s="2" t="s">
        <v>55</v>
      </c>
      <c r="U277" s="2" t="s">
        <v>56</v>
      </c>
      <c r="V277" s="2" t="s">
        <v>57</v>
      </c>
      <c r="W277" s="2" t="s">
        <v>58</v>
      </c>
      <c r="X277" s="2" t="s">
        <v>59</v>
      </c>
      <c r="Y277" s="1">
        <v>1055.97</v>
      </c>
      <c r="Z277" s="1">
        <v>1055.97</v>
      </c>
      <c r="AA277" s="1">
        <v>33.99</v>
      </c>
      <c r="AB277" s="1">
        <v>29.99</v>
      </c>
      <c r="AC277" s="1">
        <v>0</v>
      </c>
      <c r="AD277" s="1">
        <v>137.53772000000001</v>
      </c>
      <c r="AE277" s="1">
        <v>1119.95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18.479475000000001</v>
      </c>
      <c r="AP277" s="1">
        <v>2.5871265000000001</v>
      </c>
      <c r="AQ277" s="1">
        <v>926.28947000000005</v>
      </c>
      <c r="AR277" s="1">
        <v>926.28947000000005</v>
      </c>
      <c r="AS277" s="1">
        <v>231.57237000000001</v>
      </c>
      <c r="AT277" s="1">
        <v>32.4201318</v>
      </c>
      <c r="AU277" s="1">
        <v>0</v>
      </c>
      <c r="AV277" s="2" t="s">
        <v>69</v>
      </c>
      <c r="AW277" s="1">
        <v>770.91099999999994</v>
      </c>
      <c r="AX277" s="1">
        <f>Table1[[#This Row],[Original Commissionable GMV]]-Table1[[#This Row],[Commission ]]-Table1[[#This Row],[Commission VAT]]-Table1[[#This Row],[FreeDeliveryFund]]</f>
        <v>662.29696820000004</v>
      </c>
      <c r="AY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M277" s="2"/>
    </row>
    <row r="278" spans="12:65" x14ac:dyDescent="0.25">
      <c r="L278" s="2">
        <v>504016</v>
      </c>
      <c r="M278" s="2" t="s">
        <v>52</v>
      </c>
      <c r="N278" s="2">
        <v>505837</v>
      </c>
      <c r="O278" t="s">
        <v>63</v>
      </c>
      <c r="P278">
        <v>3392589685</v>
      </c>
      <c r="Q278" s="5">
        <v>46032.841574074075</v>
      </c>
      <c r="R278" s="2" t="s">
        <v>62</v>
      </c>
      <c r="S278" s="2" t="s">
        <v>51</v>
      </c>
      <c r="T278" s="2" t="s">
        <v>55</v>
      </c>
      <c r="U278" s="2" t="s">
        <v>56</v>
      </c>
      <c r="V278" s="2" t="s">
        <v>57</v>
      </c>
      <c r="W278" s="2" t="s">
        <v>58</v>
      </c>
      <c r="X278" s="2" t="s">
        <v>59</v>
      </c>
      <c r="Y278" s="1">
        <v>362.99</v>
      </c>
      <c r="Z278" s="1">
        <v>362.99</v>
      </c>
      <c r="AA278" s="1">
        <v>27.99</v>
      </c>
      <c r="AB278" s="1">
        <v>18.149999999999999</v>
      </c>
      <c r="AC278" s="1">
        <v>0</v>
      </c>
      <c r="AD278" s="1">
        <v>50.244039999999998</v>
      </c>
      <c r="AE278" s="1">
        <v>409.13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318.41228000000001</v>
      </c>
      <c r="AR278" s="1">
        <v>318.41228000000001</v>
      </c>
      <c r="AS278" s="1">
        <v>79.603070000000002</v>
      </c>
      <c r="AT278" s="1">
        <v>11.144429799999999</v>
      </c>
      <c r="AU278" s="1">
        <v>0</v>
      </c>
      <c r="AV278" s="2" t="s">
        <v>69</v>
      </c>
      <c r="AW278" s="1">
        <v>272.24299999999999</v>
      </c>
      <c r="AX278" s="1">
        <f>Table1[[#This Row],[Original Commissionable GMV]]-Table1[[#This Row],[Commission ]]-Table1[[#This Row],[Commission VAT]]-Table1[[#This Row],[FreeDeliveryFund]]</f>
        <v>227.6647802</v>
      </c>
      <c r="AY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M278" s="2"/>
    </row>
    <row r="279" spans="12:65" x14ac:dyDescent="0.25">
      <c r="L279" s="2">
        <v>504016</v>
      </c>
      <c r="M279" s="2" t="s">
        <v>52</v>
      </c>
      <c r="N279" s="2">
        <v>505839</v>
      </c>
      <c r="O279" t="s">
        <v>63</v>
      </c>
      <c r="P279">
        <v>3392590155</v>
      </c>
      <c r="Q279" s="5">
        <v>46032.841736111113</v>
      </c>
      <c r="R279" s="2" t="s">
        <v>54</v>
      </c>
      <c r="S279" s="2" t="s">
        <v>51</v>
      </c>
      <c r="T279" s="2" t="s">
        <v>55</v>
      </c>
      <c r="U279" s="2" t="s">
        <v>59</v>
      </c>
      <c r="V279" s="2" t="s">
        <v>57</v>
      </c>
      <c r="W279" s="2" t="s">
        <v>58</v>
      </c>
      <c r="X279" s="2" t="s">
        <v>59</v>
      </c>
      <c r="Y279" s="1">
        <v>797.97</v>
      </c>
      <c r="Z279" s="1">
        <v>797.97</v>
      </c>
      <c r="AA279" s="1">
        <v>0</v>
      </c>
      <c r="AB279" s="1">
        <v>29.99</v>
      </c>
      <c r="AC279" s="1">
        <v>0</v>
      </c>
      <c r="AD279" s="1">
        <v>101.6793</v>
      </c>
      <c r="AE279" s="1">
        <v>827.96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13.964475</v>
      </c>
      <c r="AP279" s="1">
        <v>1.9550265</v>
      </c>
      <c r="AQ279" s="1">
        <v>699.97367999999994</v>
      </c>
      <c r="AR279" s="1">
        <v>699.97367999999994</v>
      </c>
      <c r="AS279" s="1">
        <v>174.99341999999999</v>
      </c>
      <c r="AT279" s="1">
        <v>24.499078799999999</v>
      </c>
      <c r="AU279" s="1">
        <v>26.99</v>
      </c>
      <c r="AV279" s="2" t="s">
        <v>60</v>
      </c>
      <c r="AW279" s="1">
        <v>555.56799999999998</v>
      </c>
      <c r="AX279" s="1">
        <f>Table1[[#This Row],[Original Commissionable GMV]]-Table1[[#This Row],[Commission ]]-Table1[[#This Row],[Commission VAT]]-Table1[[#This Row],[FreeDeliveryFund]]</f>
        <v>473.49118119999991</v>
      </c>
      <c r="AY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M279" s="2"/>
    </row>
    <row r="280" spans="12:65" x14ac:dyDescent="0.25">
      <c r="L280" s="2">
        <v>504016</v>
      </c>
      <c r="M280" s="2" t="s">
        <v>52</v>
      </c>
      <c r="N280" s="2">
        <v>505839</v>
      </c>
      <c r="O280" t="s">
        <v>65</v>
      </c>
      <c r="P280">
        <v>3392601402</v>
      </c>
      <c r="Q280" s="5">
        <v>46032.845173611109</v>
      </c>
      <c r="R280" s="2" t="s">
        <v>62</v>
      </c>
      <c r="S280" s="2" t="s">
        <v>51</v>
      </c>
      <c r="T280" s="2" t="s">
        <v>55</v>
      </c>
      <c r="U280" s="2" t="s">
        <v>56</v>
      </c>
      <c r="V280" s="2" t="s">
        <v>57</v>
      </c>
      <c r="W280" s="2" t="s">
        <v>58</v>
      </c>
      <c r="X280" s="2" t="s">
        <v>59</v>
      </c>
      <c r="Y280" s="1">
        <v>702.97</v>
      </c>
      <c r="Z280" s="1">
        <v>702.97</v>
      </c>
      <c r="AA280" s="1">
        <v>27.99</v>
      </c>
      <c r="AB280" s="1">
        <v>29.99</v>
      </c>
      <c r="AC280" s="1">
        <v>0</v>
      </c>
      <c r="AD280" s="1">
        <v>93.45</v>
      </c>
      <c r="AE280" s="1">
        <v>760.95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616.64035000000001</v>
      </c>
      <c r="AR280" s="1">
        <v>616.64035000000001</v>
      </c>
      <c r="AS280" s="1">
        <v>154.16009</v>
      </c>
      <c r="AT280" s="1">
        <v>21.582412600000001</v>
      </c>
      <c r="AU280" s="1">
        <v>0</v>
      </c>
      <c r="AV280" s="2" t="s">
        <v>69</v>
      </c>
      <c r="AW280" s="1">
        <v>527.22699999999998</v>
      </c>
      <c r="AX280" s="1">
        <f>Table1[[#This Row],[Original Commissionable GMV]]-Table1[[#This Row],[Commission ]]-Table1[[#This Row],[Commission VAT]]-Table1[[#This Row],[FreeDeliveryFund]]</f>
        <v>440.89784740000005</v>
      </c>
      <c r="AY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M280" s="2"/>
    </row>
    <row r="281" spans="12:65" x14ac:dyDescent="0.25">
      <c r="L281" s="2">
        <v>504016</v>
      </c>
      <c r="M281" s="2" t="s">
        <v>52</v>
      </c>
      <c r="N281" s="2">
        <v>505837</v>
      </c>
      <c r="O281" t="s">
        <v>63</v>
      </c>
      <c r="P281">
        <v>3392666918</v>
      </c>
      <c r="Q281" s="5">
        <v>46032.865856481483</v>
      </c>
      <c r="R281" s="2" t="s">
        <v>62</v>
      </c>
      <c r="S281" s="2" t="s">
        <v>51</v>
      </c>
      <c r="T281" s="2" t="s">
        <v>55</v>
      </c>
      <c r="U281" s="2" t="s">
        <v>56</v>
      </c>
      <c r="V281" s="2" t="s">
        <v>57</v>
      </c>
      <c r="W281" s="2" t="s">
        <v>58</v>
      </c>
      <c r="X281" s="2" t="s">
        <v>59</v>
      </c>
      <c r="Y281" s="1">
        <v>355</v>
      </c>
      <c r="Z281" s="1">
        <v>355</v>
      </c>
      <c r="AA281" s="1">
        <v>29.99</v>
      </c>
      <c r="AB281" s="1">
        <v>17.75</v>
      </c>
      <c r="AC281" s="1">
        <v>0</v>
      </c>
      <c r="AD281" s="1">
        <v>49.459299999999999</v>
      </c>
      <c r="AE281" s="1">
        <v>402.74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311.40350999999998</v>
      </c>
      <c r="AR281" s="1">
        <v>311.40350999999998</v>
      </c>
      <c r="AS281" s="1">
        <v>77.850880000000004</v>
      </c>
      <c r="AT281" s="1">
        <v>10.8991232</v>
      </c>
      <c r="AU281" s="1">
        <v>0</v>
      </c>
      <c r="AV281" s="2" t="s">
        <v>69</v>
      </c>
      <c r="AW281" s="1">
        <v>266.25</v>
      </c>
      <c r="AX281" s="1">
        <f>Table1[[#This Row],[Original Commissionable GMV]]-Table1[[#This Row],[Commission ]]-Table1[[#This Row],[Commission VAT]]-Table1[[#This Row],[FreeDeliveryFund]]</f>
        <v>222.65350679999997</v>
      </c>
      <c r="AY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M281" s="2"/>
    </row>
    <row r="282" spans="12:65" x14ac:dyDescent="0.25">
      <c r="L282" s="2">
        <v>504016</v>
      </c>
      <c r="M282" s="2" t="s">
        <v>52</v>
      </c>
      <c r="N282" s="2">
        <v>505839</v>
      </c>
      <c r="O282" t="s">
        <v>53</v>
      </c>
      <c r="P282">
        <v>3392700799</v>
      </c>
      <c r="Q282" s="5">
        <v>46032.877245370371</v>
      </c>
      <c r="R282" s="2" t="s">
        <v>62</v>
      </c>
      <c r="S282" s="2" t="s">
        <v>51</v>
      </c>
      <c r="T282" s="2" t="s">
        <v>55</v>
      </c>
      <c r="U282" s="2" t="s">
        <v>56</v>
      </c>
      <c r="V282" s="2" t="s">
        <v>57</v>
      </c>
      <c r="W282" s="2" t="s">
        <v>58</v>
      </c>
      <c r="X282" s="2" t="s">
        <v>59</v>
      </c>
      <c r="Y282" s="1">
        <v>1502.95</v>
      </c>
      <c r="Z282" s="1">
        <v>1502.95</v>
      </c>
      <c r="AA282" s="1">
        <v>0</v>
      </c>
      <c r="AB282" s="1">
        <v>29.99</v>
      </c>
      <c r="AC282" s="1">
        <v>0</v>
      </c>
      <c r="AD282" s="1">
        <v>188.25578999999999</v>
      </c>
      <c r="AE282" s="1">
        <v>1532.94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1318.3771899999999</v>
      </c>
      <c r="AR282" s="1">
        <v>1318.3771899999999</v>
      </c>
      <c r="AS282" s="1">
        <v>329.59429999999998</v>
      </c>
      <c r="AT282" s="1">
        <v>46.143202000000002</v>
      </c>
      <c r="AU282" s="1">
        <v>36.99</v>
      </c>
      <c r="AV282" s="2" t="s">
        <v>60</v>
      </c>
      <c r="AW282" s="1">
        <v>1090.222</v>
      </c>
      <c r="AX282" s="1">
        <f>Table1[[#This Row],[Original Commissionable GMV]]-Table1[[#This Row],[Commission ]]-Table1[[#This Row],[Commission VAT]]-Table1[[#This Row],[FreeDeliveryFund]]</f>
        <v>905.64968799999997</v>
      </c>
      <c r="AY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M282" s="2"/>
    </row>
    <row r="283" spans="12:65" x14ac:dyDescent="0.25">
      <c r="L283" s="2">
        <v>504016</v>
      </c>
      <c r="M283" s="2" t="s">
        <v>52</v>
      </c>
      <c r="N283" s="2">
        <v>505837</v>
      </c>
      <c r="O283" t="s">
        <v>53</v>
      </c>
      <c r="P283">
        <v>3392709841</v>
      </c>
      <c r="Q283" s="5">
        <v>46032.88045138889</v>
      </c>
      <c r="R283" s="2" t="s">
        <v>62</v>
      </c>
      <c r="S283" s="2" t="s">
        <v>51</v>
      </c>
      <c r="T283" s="2" t="s">
        <v>55</v>
      </c>
      <c r="U283" s="2" t="s">
        <v>56</v>
      </c>
      <c r="V283" s="2" t="s">
        <v>57</v>
      </c>
      <c r="W283" s="2" t="s">
        <v>58</v>
      </c>
      <c r="X283" s="2" t="s">
        <v>59</v>
      </c>
      <c r="Y283" s="1">
        <v>315.66000000000003</v>
      </c>
      <c r="Z283" s="1">
        <v>315.66000000000003</v>
      </c>
      <c r="AA283" s="1">
        <v>32.99</v>
      </c>
      <c r="AB283" s="1">
        <v>15.78</v>
      </c>
      <c r="AC283" s="1">
        <v>0</v>
      </c>
      <c r="AD283" s="1">
        <v>44.754559999999998</v>
      </c>
      <c r="AE283" s="1">
        <v>364.43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276.89474000000001</v>
      </c>
      <c r="AR283" s="1">
        <v>276.89474000000001</v>
      </c>
      <c r="AS283" s="1">
        <v>69.223690000000005</v>
      </c>
      <c r="AT283" s="1">
        <v>9.6913166000000004</v>
      </c>
      <c r="AU283" s="1">
        <v>0</v>
      </c>
      <c r="AV283" s="2" t="s">
        <v>69</v>
      </c>
      <c r="AW283" s="1">
        <v>236.745</v>
      </c>
      <c r="AX283" s="1">
        <f>Table1[[#This Row],[Original Commissionable GMV]]-Table1[[#This Row],[Commission ]]-Table1[[#This Row],[Commission VAT]]-Table1[[#This Row],[FreeDeliveryFund]]</f>
        <v>197.97973340000001</v>
      </c>
      <c r="AY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M283" s="2"/>
    </row>
    <row r="284" spans="12:65" x14ac:dyDescent="0.25">
      <c r="L284" s="2">
        <v>504016</v>
      </c>
      <c r="M284" s="2" t="s">
        <v>52</v>
      </c>
      <c r="N284" s="2">
        <v>505839</v>
      </c>
      <c r="O284" t="s">
        <v>53</v>
      </c>
      <c r="P284">
        <v>3392717124</v>
      </c>
      <c r="Q284" s="5">
        <v>46032.883020833331</v>
      </c>
      <c r="R284" s="2" t="s">
        <v>54</v>
      </c>
      <c r="S284" s="2" t="s">
        <v>51</v>
      </c>
      <c r="T284" s="2" t="s">
        <v>55</v>
      </c>
      <c r="U284" s="2" t="s">
        <v>56</v>
      </c>
      <c r="V284" s="2" t="s">
        <v>57</v>
      </c>
      <c r="W284" s="2" t="s">
        <v>58</v>
      </c>
      <c r="X284" s="2" t="s">
        <v>59</v>
      </c>
      <c r="Y284" s="1">
        <v>460.65</v>
      </c>
      <c r="Z284" s="1">
        <v>460.65</v>
      </c>
      <c r="AA284" s="1">
        <v>0</v>
      </c>
      <c r="AB284" s="1">
        <v>23.03</v>
      </c>
      <c r="AC284" s="1">
        <v>0</v>
      </c>
      <c r="AD284" s="1">
        <v>59.399299999999997</v>
      </c>
      <c r="AE284" s="1">
        <v>483.68</v>
      </c>
      <c r="AG284" s="1">
        <v>0</v>
      </c>
      <c r="AH284" s="1">
        <v>0</v>
      </c>
      <c r="AI284" s="1">
        <v>132.24</v>
      </c>
      <c r="AJ284" s="1">
        <v>0</v>
      </c>
      <c r="AK284" s="1">
        <v>132.24</v>
      </c>
      <c r="AL284" s="1">
        <v>0</v>
      </c>
      <c r="AM284" s="1">
        <v>0</v>
      </c>
      <c r="AN284" s="1">
        <v>0</v>
      </c>
      <c r="AO284" s="1">
        <v>8.061375</v>
      </c>
      <c r="AP284" s="1">
        <v>1.1285925000000001</v>
      </c>
      <c r="AQ284" s="1">
        <v>404.07895000000002</v>
      </c>
      <c r="AR284" s="1">
        <v>404.07895000000002</v>
      </c>
      <c r="AS284" s="1">
        <v>101.01974</v>
      </c>
      <c r="AT284" s="1">
        <v>14.1427636</v>
      </c>
      <c r="AU284" s="1">
        <v>30.99</v>
      </c>
      <c r="AV284" s="2" t="s">
        <v>60</v>
      </c>
      <c r="AW284" s="1">
        <v>305.30799999999999</v>
      </c>
      <c r="AX284" s="1">
        <f>Table1[[#This Row],[Original Commissionable GMV]]-Table1[[#This Row],[Commission ]]-Table1[[#This Row],[Commission VAT]]-Table1[[#This Row],[FreeDeliveryFund]]</f>
        <v>257.92644639999997</v>
      </c>
      <c r="AY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M284" s="2"/>
    </row>
    <row r="285" spans="12:65" x14ac:dyDescent="0.25">
      <c r="L285" s="2">
        <v>504016</v>
      </c>
      <c r="M285" s="2" t="s">
        <v>52</v>
      </c>
      <c r="N285" s="2">
        <v>505835</v>
      </c>
      <c r="O285" t="s">
        <v>53</v>
      </c>
      <c r="P285">
        <v>3392767888</v>
      </c>
      <c r="Q285" s="5">
        <v>46032.901817129627</v>
      </c>
      <c r="R285" s="2" t="s">
        <v>62</v>
      </c>
      <c r="S285" s="2" t="s">
        <v>51</v>
      </c>
      <c r="T285" s="2" t="s">
        <v>55</v>
      </c>
      <c r="U285" s="2" t="s">
        <v>56</v>
      </c>
      <c r="V285" s="2" t="s">
        <v>57</v>
      </c>
      <c r="W285" s="2" t="s">
        <v>58</v>
      </c>
      <c r="X285" s="2" t="s">
        <v>59</v>
      </c>
      <c r="Y285" s="1">
        <v>363.99</v>
      </c>
      <c r="Z285" s="1">
        <v>363.99</v>
      </c>
      <c r="AA285" s="1">
        <v>43.99</v>
      </c>
      <c r="AB285" s="1">
        <v>18.2</v>
      </c>
      <c r="AC285" s="1">
        <v>0</v>
      </c>
      <c r="AD285" s="1">
        <v>52.337890000000002</v>
      </c>
      <c r="AE285" s="1">
        <v>426.18</v>
      </c>
      <c r="AG285" s="1">
        <v>0</v>
      </c>
      <c r="AH285" s="1">
        <v>0</v>
      </c>
      <c r="AI285" s="1">
        <v>132.24</v>
      </c>
      <c r="AJ285" s="1">
        <v>0</v>
      </c>
      <c r="AK285" s="1">
        <v>132.24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319.28946999999999</v>
      </c>
      <c r="AR285" s="1">
        <v>319.28946999999999</v>
      </c>
      <c r="AS285" s="1">
        <v>79.822370000000006</v>
      </c>
      <c r="AT285" s="1">
        <v>11.175131800000001</v>
      </c>
      <c r="AU285" s="1">
        <v>0</v>
      </c>
      <c r="AV285" s="2" t="s">
        <v>69</v>
      </c>
      <c r="AW285" s="1">
        <v>272.99200000000002</v>
      </c>
      <c r="AX285" s="1">
        <f>Table1[[#This Row],[Original Commissionable GMV]]-Table1[[#This Row],[Commission ]]-Table1[[#This Row],[Commission VAT]]-Table1[[#This Row],[FreeDeliveryFund]]</f>
        <v>228.29196819999999</v>
      </c>
      <c r="AY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M285" s="2"/>
    </row>
    <row r="286" spans="12:65" x14ac:dyDescent="0.25">
      <c r="L286" s="2">
        <v>504016</v>
      </c>
      <c r="M286" s="2" t="s">
        <v>52</v>
      </c>
      <c r="N286" s="2">
        <v>505835</v>
      </c>
      <c r="O286" t="s">
        <v>53</v>
      </c>
      <c r="P286">
        <v>3392802918</v>
      </c>
      <c r="Q286" s="5">
        <v>46032.915856481479</v>
      </c>
      <c r="R286" s="2" t="s">
        <v>54</v>
      </c>
      <c r="S286" s="2" t="s">
        <v>51</v>
      </c>
      <c r="T286" s="2" t="s">
        <v>55</v>
      </c>
      <c r="U286" s="2" t="s">
        <v>56</v>
      </c>
      <c r="V286" s="2" t="s">
        <v>57</v>
      </c>
      <c r="W286" s="2" t="s">
        <v>58</v>
      </c>
      <c r="X286" s="2" t="s">
        <v>59</v>
      </c>
      <c r="Y286" s="1">
        <v>746.98</v>
      </c>
      <c r="Z286" s="1">
        <v>746.98</v>
      </c>
      <c r="AA286" s="1">
        <v>39.99</v>
      </c>
      <c r="AB286" s="1">
        <v>29.99</v>
      </c>
      <c r="AC286" s="1">
        <v>0</v>
      </c>
      <c r="AD286" s="1">
        <v>100.32841999999999</v>
      </c>
      <c r="AE286" s="1">
        <v>816.96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13.072150000000001</v>
      </c>
      <c r="AP286" s="1">
        <v>1.830101</v>
      </c>
      <c r="AQ286" s="1">
        <v>655.24561000000006</v>
      </c>
      <c r="AR286" s="1">
        <v>655.24561000000006</v>
      </c>
      <c r="AS286" s="1">
        <v>163.81139999999999</v>
      </c>
      <c r="AT286" s="1">
        <v>22.933596000000001</v>
      </c>
      <c r="AU286" s="1">
        <v>0</v>
      </c>
      <c r="AV286" s="2" t="s">
        <v>69</v>
      </c>
      <c r="AW286" s="1">
        <v>545.33299999999997</v>
      </c>
      <c r="AX286" s="1">
        <f>Table1[[#This Row],[Original Commissionable GMV]]-Table1[[#This Row],[Commission ]]-Table1[[#This Row],[Commission VAT]]-Table1[[#This Row],[FreeDeliveryFund]]</f>
        <v>468.50061400000004</v>
      </c>
      <c r="AY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M286" s="2"/>
    </row>
    <row r="287" spans="12:65" x14ac:dyDescent="0.25">
      <c r="L287" s="2">
        <v>504016</v>
      </c>
      <c r="M287" s="2" t="s">
        <v>52</v>
      </c>
      <c r="N287" s="2">
        <v>505837</v>
      </c>
      <c r="O287" t="s">
        <v>63</v>
      </c>
      <c r="P287">
        <v>3392820879</v>
      </c>
      <c r="Q287" s="5">
        <v>46032.923414351855</v>
      </c>
      <c r="R287" s="2" t="s">
        <v>66</v>
      </c>
      <c r="S287" s="2" t="s">
        <v>51</v>
      </c>
      <c r="T287" s="2" t="s">
        <v>55</v>
      </c>
      <c r="U287" s="2" t="s">
        <v>59</v>
      </c>
      <c r="V287" s="2" t="s">
        <v>57</v>
      </c>
      <c r="W287" s="2" t="s">
        <v>58</v>
      </c>
      <c r="X287" s="2" t="s">
        <v>59</v>
      </c>
      <c r="Y287" s="1">
        <v>253.99</v>
      </c>
      <c r="Z287" s="1">
        <v>253.99</v>
      </c>
      <c r="AA287" s="1">
        <v>35.99</v>
      </c>
      <c r="AB287" s="1">
        <v>12.7</v>
      </c>
      <c r="AC287" s="1">
        <v>0</v>
      </c>
      <c r="AD287" s="1">
        <v>37.171230000000001</v>
      </c>
      <c r="AE287" s="1">
        <v>302.68</v>
      </c>
      <c r="AG287" s="1">
        <v>0</v>
      </c>
      <c r="AH287" s="1">
        <v>0</v>
      </c>
      <c r="AI287" s="1">
        <v>132.24</v>
      </c>
      <c r="AJ287" s="1">
        <v>60</v>
      </c>
      <c r="AK287" s="1">
        <v>132.24</v>
      </c>
      <c r="AL287" s="1">
        <v>0</v>
      </c>
      <c r="AM287" s="1">
        <v>0</v>
      </c>
      <c r="AN287" s="1">
        <v>0</v>
      </c>
      <c r="AO287" s="1">
        <v>4.4448249999999998</v>
      </c>
      <c r="AP287" s="1">
        <v>0.62227549999999998</v>
      </c>
      <c r="AQ287" s="1">
        <v>222.79825</v>
      </c>
      <c r="AR287" s="1">
        <v>222.79825</v>
      </c>
      <c r="AS287" s="1">
        <v>55.699559999999998</v>
      </c>
      <c r="AT287" s="1">
        <v>7.7979383999999996</v>
      </c>
      <c r="AU287" s="1">
        <v>0</v>
      </c>
      <c r="AV287" s="2" t="s">
        <v>69</v>
      </c>
      <c r="AW287" s="1">
        <v>185.42500000000001</v>
      </c>
      <c r="AX287" s="1">
        <f>Table1[[#This Row],[Original Commissionable GMV]]-Table1[[#This Row],[Commission ]]-Table1[[#This Row],[Commission VAT]]-Table1[[#This Row],[FreeDeliveryFund]]</f>
        <v>159.30075160000001</v>
      </c>
      <c r="AY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M287" s="2"/>
    </row>
    <row r="288" spans="12:65" x14ac:dyDescent="0.25">
      <c r="L288" s="2">
        <v>504016</v>
      </c>
      <c r="M288" s="2" t="s">
        <v>52</v>
      </c>
      <c r="N288" s="2">
        <v>505837</v>
      </c>
      <c r="O288" t="s">
        <v>63</v>
      </c>
      <c r="P288">
        <v>3392854542</v>
      </c>
      <c r="Q288" s="5">
        <v>46032.939166666663</v>
      </c>
      <c r="R288" s="2" t="s">
        <v>54</v>
      </c>
      <c r="S288" s="2" t="s">
        <v>51</v>
      </c>
      <c r="T288" s="2" t="s">
        <v>55</v>
      </c>
      <c r="U288" s="2" t="s">
        <v>59</v>
      </c>
      <c r="V288" s="2" t="s">
        <v>57</v>
      </c>
      <c r="W288" s="2" t="s">
        <v>58</v>
      </c>
      <c r="X288" s="2" t="s">
        <v>59</v>
      </c>
      <c r="Y288" s="1">
        <v>427.98</v>
      </c>
      <c r="Z288" s="1">
        <v>427.98</v>
      </c>
      <c r="AA288" s="1">
        <v>26.99</v>
      </c>
      <c r="AB288" s="1">
        <v>21.4</v>
      </c>
      <c r="AC288" s="1">
        <v>0</v>
      </c>
      <c r="AD288" s="1">
        <v>58.501579999999997</v>
      </c>
      <c r="AE288" s="1">
        <v>476.37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7.4896500000000001</v>
      </c>
      <c r="AP288" s="1">
        <v>1.048551</v>
      </c>
      <c r="AQ288" s="1">
        <v>375.42104999999998</v>
      </c>
      <c r="AR288" s="1">
        <v>375.42104999999998</v>
      </c>
      <c r="AS288" s="1">
        <v>93.855260000000001</v>
      </c>
      <c r="AT288" s="1">
        <v>13.1397364</v>
      </c>
      <c r="AU288" s="1">
        <v>0</v>
      </c>
      <c r="AV288" s="2" t="s">
        <v>69</v>
      </c>
      <c r="AW288" s="1">
        <v>312.447</v>
      </c>
      <c r="AX288" s="1">
        <f>Table1[[#This Row],[Original Commissionable GMV]]-Table1[[#This Row],[Commission ]]-Table1[[#This Row],[Commission VAT]]-Table1[[#This Row],[FreeDeliveryFund]]</f>
        <v>268.42605359999999</v>
      </c>
      <c r="AY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M288" s="2"/>
    </row>
    <row r="289" spans="12:65" x14ac:dyDescent="0.25">
      <c r="L289" s="2">
        <v>504016</v>
      </c>
      <c r="M289" s="2" t="s">
        <v>52</v>
      </c>
      <c r="N289" s="2">
        <v>505839</v>
      </c>
      <c r="O289" t="s">
        <v>53</v>
      </c>
      <c r="P289">
        <v>3392908430</v>
      </c>
      <c r="Q289" s="5">
        <v>46032.968553240738</v>
      </c>
      <c r="R289" s="2" t="s">
        <v>62</v>
      </c>
      <c r="S289" s="2" t="s">
        <v>51</v>
      </c>
      <c r="T289" s="2" t="s">
        <v>55</v>
      </c>
      <c r="U289" s="2" t="s">
        <v>59</v>
      </c>
      <c r="V289" s="2" t="s">
        <v>57</v>
      </c>
      <c r="W289" s="2" t="s">
        <v>58</v>
      </c>
      <c r="X289" s="2" t="s">
        <v>59</v>
      </c>
      <c r="Y289" s="1">
        <v>353.99</v>
      </c>
      <c r="Z289" s="1">
        <v>353.99</v>
      </c>
      <c r="AA289" s="1">
        <v>30.99</v>
      </c>
      <c r="AB289" s="1">
        <v>17.7</v>
      </c>
      <c r="AC289" s="1">
        <v>0</v>
      </c>
      <c r="AD289" s="1">
        <v>49.451929999999997</v>
      </c>
      <c r="AE289" s="1">
        <v>402.68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30</v>
      </c>
      <c r="AN289" s="1">
        <v>4.2</v>
      </c>
      <c r="AO289" s="1">
        <v>0</v>
      </c>
      <c r="AP289" s="1">
        <v>0</v>
      </c>
      <c r="AQ289" s="1">
        <v>310.51754</v>
      </c>
      <c r="AR289" s="1">
        <v>310.51754</v>
      </c>
      <c r="AS289" s="1">
        <v>77.629390000000001</v>
      </c>
      <c r="AT289" s="1">
        <v>10.8681146</v>
      </c>
      <c r="AU289" s="1">
        <v>0</v>
      </c>
      <c r="AV289" s="2" t="s">
        <v>69</v>
      </c>
      <c r="AW289" s="1">
        <v>231.292</v>
      </c>
      <c r="AX289" s="1">
        <f>Table1[[#This Row],[Original Commissionable GMV]]-Table1[[#This Row],[Commission ]]-Table1[[#This Row],[Commission VAT]]-Table1[[#This Row],[FreeDeliveryFund]]</f>
        <v>222.02003539999998</v>
      </c>
      <c r="AY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M289" s="2"/>
    </row>
    <row r="290" spans="12:65" x14ac:dyDescent="0.25">
      <c r="L290" s="2">
        <v>504016</v>
      </c>
      <c r="M290" s="2" t="s">
        <v>52</v>
      </c>
      <c r="N290" s="2">
        <v>505839</v>
      </c>
      <c r="O290" t="s">
        <v>63</v>
      </c>
      <c r="P290">
        <v>3393517792</v>
      </c>
      <c r="Q290" s="5">
        <v>46033.533043981479</v>
      </c>
      <c r="R290" s="2" t="s">
        <v>54</v>
      </c>
      <c r="S290" s="2" t="s">
        <v>51</v>
      </c>
      <c r="T290" s="2" t="s">
        <v>55</v>
      </c>
      <c r="U290" s="2" t="s">
        <v>56</v>
      </c>
      <c r="V290" s="2" t="s">
        <v>57</v>
      </c>
      <c r="W290" s="2" t="s">
        <v>58</v>
      </c>
      <c r="X290" s="2" t="s">
        <v>59</v>
      </c>
      <c r="Y290" s="1">
        <v>519.98</v>
      </c>
      <c r="Z290" s="1">
        <v>519.98</v>
      </c>
      <c r="AA290" s="1">
        <v>35.99</v>
      </c>
      <c r="AB290" s="1">
        <v>26</v>
      </c>
      <c r="AC290" s="1">
        <v>0</v>
      </c>
      <c r="AD290" s="1">
        <v>71.47</v>
      </c>
      <c r="AE290" s="1">
        <v>581.97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30</v>
      </c>
      <c r="AN290" s="1">
        <v>4.2</v>
      </c>
      <c r="AO290" s="1">
        <v>9.0996500000000005</v>
      </c>
      <c r="AP290" s="1">
        <v>1.2739510000000001</v>
      </c>
      <c r="AQ290" s="1">
        <v>456.12281000000002</v>
      </c>
      <c r="AR290" s="1">
        <v>456.12281000000002</v>
      </c>
      <c r="AS290" s="1">
        <v>114.0307</v>
      </c>
      <c r="AT290" s="1">
        <v>15.964297999999999</v>
      </c>
      <c r="AU290" s="1">
        <v>0</v>
      </c>
      <c r="AV290" s="2" t="s">
        <v>69</v>
      </c>
      <c r="AW290" s="1">
        <v>345.411</v>
      </c>
      <c r="AX290" s="1">
        <f>Table1[[#This Row],[Original Commissionable GMV]]-Table1[[#This Row],[Commission ]]-Table1[[#This Row],[Commission VAT]]-Table1[[#This Row],[FreeDeliveryFund]]</f>
        <v>326.12781200000006</v>
      </c>
      <c r="AY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M290" s="2"/>
    </row>
    <row r="291" spans="12:65" x14ac:dyDescent="0.25">
      <c r="L291" s="2">
        <v>504016</v>
      </c>
      <c r="M291" s="2" t="s">
        <v>52</v>
      </c>
      <c r="N291" s="2">
        <v>505839</v>
      </c>
      <c r="O291" t="s">
        <v>63</v>
      </c>
      <c r="P291">
        <v>3393568856</v>
      </c>
      <c r="Q291" s="5">
        <v>46033.553981481484</v>
      </c>
      <c r="R291" s="2" t="s">
        <v>54</v>
      </c>
      <c r="S291" s="2" t="s">
        <v>51</v>
      </c>
      <c r="T291" s="2" t="s">
        <v>55</v>
      </c>
      <c r="U291" s="2" t="s">
        <v>56</v>
      </c>
      <c r="V291" s="2" t="s">
        <v>57</v>
      </c>
      <c r="W291" s="2" t="s">
        <v>58</v>
      </c>
      <c r="X291" s="2" t="s">
        <v>59</v>
      </c>
      <c r="Y291" s="1">
        <v>239.99</v>
      </c>
      <c r="Z291" s="1">
        <v>239.99</v>
      </c>
      <c r="AA291" s="1">
        <v>0</v>
      </c>
      <c r="AB291" s="1">
        <v>12</v>
      </c>
      <c r="AC291" s="1">
        <v>0</v>
      </c>
      <c r="AD291" s="1">
        <v>30.94614</v>
      </c>
      <c r="AE291" s="1">
        <v>251.99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30</v>
      </c>
      <c r="AN291" s="1">
        <v>4.2</v>
      </c>
      <c r="AO291" s="1">
        <v>4.1998249999999997</v>
      </c>
      <c r="AP291" s="1">
        <v>0.58797549999999998</v>
      </c>
      <c r="AQ291" s="1">
        <v>210.51754</v>
      </c>
      <c r="AR291" s="1">
        <v>210.51754</v>
      </c>
      <c r="AS291" s="1">
        <v>52.629390000000001</v>
      </c>
      <c r="AT291" s="1">
        <v>7.3681146000000002</v>
      </c>
      <c r="AU291" s="1">
        <v>27.99</v>
      </c>
      <c r="AV291" s="2" t="s">
        <v>60</v>
      </c>
      <c r="AW291" s="1">
        <v>113.015</v>
      </c>
      <c r="AX291" s="1">
        <f>Table1[[#This Row],[Original Commissionable GMV]]-Table1[[#This Row],[Commission ]]-Table1[[#This Row],[Commission VAT]]-Table1[[#This Row],[FreeDeliveryFund]]</f>
        <v>122.53003539999999</v>
      </c>
      <c r="AY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M291" s="2"/>
    </row>
    <row r="292" spans="12:65" x14ac:dyDescent="0.25">
      <c r="L292" s="2">
        <v>504016</v>
      </c>
      <c r="M292" s="2" t="s">
        <v>52</v>
      </c>
      <c r="N292" s="2">
        <v>505839</v>
      </c>
      <c r="O292" t="s">
        <v>63</v>
      </c>
      <c r="P292">
        <v>3393638622</v>
      </c>
      <c r="Q292" s="5">
        <v>46033.582662037035</v>
      </c>
      <c r="R292" s="2" t="s">
        <v>62</v>
      </c>
      <c r="S292" s="2" t="s">
        <v>51</v>
      </c>
      <c r="T292" s="2" t="s">
        <v>55</v>
      </c>
      <c r="U292" s="2" t="s">
        <v>56</v>
      </c>
      <c r="V292" s="2" t="s">
        <v>57</v>
      </c>
      <c r="W292" s="2" t="s">
        <v>58</v>
      </c>
      <c r="X292" s="2" t="s">
        <v>59</v>
      </c>
      <c r="Y292" s="1">
        <v>295.99</v>
      </c>
      <c r="Z292" s="1">
        <v>295.99</v>
      </c>
      <c r="AA292" s="1">
        <v>27.99</v>
      </c>
      <c r="AB292" s="1">
        <v>14.8</v>
      </c>
      <c r="AC292" s="1">
        <v>0</v>
      </c>
      <c r="AD292" s="1">
        <v>41.604559999999999</v>
      </c>
      <c r="AE292" s="1">
        <v>338.78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259.64035000000001</v>
      </c>
      <c r="AR292" s="1">
        <v>259.64035000000001</v>
      </c>
      <c r="AS292" s="1">
        <v>64.910089999999997</v>
      </c>
      <c r="AT292" s="1">
        <v>9.0874126000000004</v>
      </c>
      <c r="AU292" s="1">
        <v>0</v>
      </c>
      <c r="AV292" s="2" t="s">
        <v>69</v>
      </c>
      <c r="AW292" s="1">
        <v>221.99199999999999</v>
      </c>
      <c r="AX292" s="1">
        <f>Table1[[#This Row],[Original Commissionable GMV]]-Table1[[#This Row],[Commission ]]-Table1[[#This Row],[Commission VAT]]-Table1[[#This Row],[FreeDeliveryFund]]</f>
        <v>185.64284740000002</v>
      </c>
      <c r="AY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M292" s="2"/>
    </row>
    <row r="293" spans="12:65" x14ac:dyDescent="0.25">
      <c r="L293" s="2">
        <v>504016</v>
      </c>
      <c r="M293" s="2" t="s">
        <v>52</v>
      </c>
      <c r="N293" s="2">
        <v>505839</v>
      </c>
      <c r="O293" t="s">
        <v>63</v>
      </c>
      <c r="P293">
        <v>3393684478</v>
      </c>
      <c r="Q293" s="5">
        <v>46033.601307870369</v>
      </c>
      <c r="R293" s="2" t="s">
        <v>54</v>
      </c>
      <c r="S293" s="2" t="s">
        <v>51</v>
      </c>
      <c r="T293" s="2" t="s">
        <v>55</v>
      </c>
      <c r="U293" s="2" t="s">
        <v>56</v>
      </c>
      <c r="V293" s="2" t="s">
        <v>57</v>
      </c>
      <c r="W293" s="2" t="s">
        <v>58</v>
      </c>
      <c r="X293" s="2" t="s">
        <v>59</v>
      </c>
      <c r="Y293" s="1">
        <v>266.99</v>
      </c>
      <c r="Z293" s="1">
        <v>266.99</v>
      </c>
      <c r="AA293" s="1">
        <v>30.99</v>
      </c>
      <c r="AB293" s="1">
        <v>13.35</v>
      </c>
      <c r="AC293" s="1">
        <v>0</v>
      </c>
      <c r="AD293" s="1">
        <v>38.233510000000003</v>
      </c>
      <c r="AE293" s="1">
        <v>311.33</v>
      </c>
      <c r="AG293" s="1">
        <v>0</v>
      </c>
      <c r="AH293" s="1">
        <v>0</v>
      </c>
      <c r="AI293" s="1">
        <v>132.24</v>
      </c>
      <c r="AJ293" s="1">
        <v>58.14</v>
      </c>
      <c r="AK293" s="1">
        <v>132.24</v>
      </c>
      <c r="AL293" s="1">
        <v>0</v>
      </c>
      <c r="AM293" s="1">
        <v>0</v>
      </c>
      <c r="AN293" s="1">
        <v>0</v>
      </c>
      <c r="AO293" s="1">
        <v>4.6723249999999998</v>
      </c>
      <c r="AP293" s="1">
        <v>0.65412550000000003</v>
      </c>
      <c r="AQ293" s="1">
        <v>234.20175</v>
      </c>
      <c r="AR293" s="1">
        <v>234.20175</v>
      </c>
      <c r="AS293" s="1">
        <v>58.550440000000002</v>
      </c>
      <c r="AT293" s="1">
        <v>8.1970615999999996</v>
      </c>
      <c r="AU293" s="1">
        <v>0</v>
      </c>
      <c r="AV293" s="2" t="s">
        <v>69</v>
      </c>
      <c r="AW293" s="1">
        <v>194.916</v>
      </c>
      <c r="AX293" s="1">
        <f>Table1[[#This Row],[Original Commissionable GMV]]-Table1[[#This Row],[Commission ]]-Table1[[#This Row],[Commission VAT]]-Table1[[#This Row],[FreeDeliveryFund]]</f>
        <v>167.45424839999998</v>
      </c>
      <c r="AY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M293" s="2"/>
    </row>
    <row r="294" spans="12:65" x14ac:dyDescent="0.25">
      <c r="L294" s="2">
        <v>504016</v>
      </c>
      <c r="M294" s="2" t="s">
        <v>52</v>
      </c>
      <c r="N294" s="2">
        <v>505837</v>
      </c>
      <c r="O294" t="s">
        <v>53</v>
      </c>
      <c r="P294">
        <v>3393735199</v>
      </c>
      <c r="Q294" s="5">
        <v>46033.621423611112</v>
      </c>
      <c r="R294" s="2" t="s">
        <v>66</v>
      </c>
      <c r="S294" s="2" t="s">
        <v>51</v>
      </c>
      <c r="T294" s="2" t="s">
        <v>55</v>
      </c>
      <c r="U294" s="2" t="s">
        <v>56</v>
      </c>
      <c r="V294" s="2" t="s">
        <v>57</v>
      </c>
      <c r="W294" s="2" t="s">
        <v>58</v>
      </c>
      <c r="X294" s="2" t="s">
        <v>59</v>
      </c>
      <c r="Y294" s="1">
        <v>1107.97</v>
      </c>
      <c r="Z294" s="1">
        <v>1107.97</v>
      </c>
      <c r="AA294" s="1">
        <v>0</v>
      </c>
      <c r="AB294" s="1">
        <v>29.99</v>
      </c>
      <c r="AC294" s="1">
        <v>0</v>
      </c>
      <c r="AD294" s="1">
        <v>139.74947</v>
      </c>
      <c r="AE294" s="1">
        <v>1137.96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19.389475000000001</v>
      </c>
      <c r="AP294" s="1">
        <v>2.7145264999999998</v>
      </c>
      <c r="AQ294" s="1">
        <v>971.90350999999998</v>
      </c>
      <c r="AR294" s="1">
        <v>971.90350999999998</v>
      </c>
      <c r="AS294" s="1">
        <v>242.97587999999999</v>
      </c>
      <c r="AT294" s="1">
        <v>34.016623199999998</v>
      </c>
      <c r="AU294" s="1">
        <v>35.99</v>
      </c>
      <c r="AV294" s="2" t="s">
        <v>60</v>
      </c>
      <c r="AW294" s="1">
        <v>772.88300000000004</v>
      </c>
      <c r="AX294" s="1">
        <f>Table1[[#This Row],[Original Commissionable GMV]]-Table1[[#This Row],[Commission ]]-Table1[[#This Row],[Commission VAT]]-Table1[[#This Row],[FreeDeliveryFund]]</f>
        <v>658.92100679999999</v>
      </c>
      <c r="AY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M294" s="2"/>
    </row>
    <row r="295" spans="12:65" x14ac:dyDescent="0.25">
      <c r="L295" s="2">
        <v>504016</v>
      </c>
      <c r="M295" s="2" t="s">
        <v>52</v>
      </c>
      <c r="N295" s="2">
        <v>505839</v>
      </c>
      <c r="O295" t="s">
        <v>53</v>
      </c>
      <c r="P295">
        <v>3393740003</v>
      </c>
      <c r="Q295" s="5">
        <v>46033.623287037037</v>
      </c>
      <c r="R295" s="2" t="s">
        <v>54</v>
      </c>
      <c r="S295" s="2" t="s">
        <v>51</v>
      </c>
      <c r="T295" s="2" t="s">
        <v>55</v>
      </c>
      <c r="U295" s="2" t="s">
        <v>56</v>
      </c>
      <c r="V295" s="2" t="s">
        <v>57</v>
      </c>
      <c r="W295" s="2" t="s">
        <v>58</v>
      </c>
      <c r="X295" s="2" t="s">
        <v>59</v>
      </c>
      <c r="Y295" s="1">
        <v>774.97</v>
      </c>
      <c r="Z295" s="1">
        <v>774.97</v>
      </c>
      <c r="AA295" s="1">
        <v>0</v>
      </c>
      <c r="AB295" s="1">
        <v>29.99</v>
      </c>
      <c r="AC295" s="1">
        <v>0</v>
      </c>
      <c r="AD295" s="1">
        <v>98.854740000000007</v>
      </c>
      <c r="AE295" s="1">
        <v>804.96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30</v>
      </c>
      <c r="AN295" s="1">
        <v>4.2</v>
      </c>
      <c r="AO295" s="1">
        <v>13.561975</v>
      </c>
      <c r="AP295" s="1">
        <v>1.8986765000000001</v>
      </c>
      <c r="AQ295" s="1">
        <v>679.79825000000005</v>
      </c>
      <c r="AR295" s="1">
        <v>679.79825000000005</v>
      </c>
      <c r="AS295" s="1">
        <v>169.94955999999999</v>
      </c>
      <c r="AT295" s="1">
        <v>23.792938400000001</v>
      </c>
      <c r="AU295" s="1">
        <v>31.99</v>
      </c>
      <c r="AV295" s="2" t="s">
        <v>60</v>
      </c>
      <c r="AW295" s="1">
        <v>499.577</v>
      </c>
      <c r="AX295" s="1">
        <f>Table1[[#This Row],[Original Commissionable GMV]]-Table1[[#This Row],[Commission ]]-Table1[[#This Row],[Commission VAT]]-Table1[[#This Row],[FreeDeliveryFund]]</f>
        <v>454.0657516</v>
      </c>
      <c r="AY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M295" s="2"/>
    </row>
    <row r="296" spans="12:65" x14ac:dyDescent="0.25">
      <c r="L296" s="2">
        <v>504016</v>
      </c>
      <c r="M296" s="2" t="s">
        <v>52</v>
      </c>
      <c r="N296" s="2">
        <v>505839</v>
      </c>
      <c r="O296" t="s">
        <v>53</v>
      </c>
      <c r="P296">
        <v>3393755393</v>
      </c>
      <c r="Q296" s="5">
        <v>46033.629224537035</v>
      </c>
      <c r="R296" s="2" t="s">
        <v>54</v>
      </c>
      <c r="S296" s="2" t="s">
        <v>51</v>
      </c>
      <c r="T296" s="2" t="s">
        <v>55</v>
      </c>
      <c r="U296" s="2" t="s">
        <v>56</v>
      </c>
      <c r="V296" s="2" t="s">
        <v>57</v>
      </c>
      <c r="W296" s="2" t="s">
        <v>58</v>
      </c>
      <c r="X296" s="2" t="s">
        <v>59</v>
      </c>
      <c r="Y296" s="1">
        <v>1062.17</v>
      </c>
      <c r="Z296" s="1">
        <v>1062.17</v>
      </c>
      <c r="AA296" s="1">
        <v>9</v>
      </c>
      <c r="AB296" s="1">
        <v>29.99</v>
      </c>
      <c r="AC296" s="1">
        <v>0</v>
      </c>
      <c r="AD296" s="1">
        <v>135.23017999999999</v>
      </c>
      <c r="AE296" s="1">
        <v>1101.1600000000001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18.587975</v>
      </c>
      <c r="AP296" s="1">
        <v>2.6023165000000001</v>
      </c>
      <c r="AQ296" s="1">
        <v>931.72807</v>
      </c>
      <c r="AR296" s="1">
        <v>931.72807</v>
      </c>
      <c r="AS296" s="1">
        <v>232.93201999999999</v>
      </c>
      <c r="AT296" s="1">
        <v>32.6104828</v>
      </c>
      <c r="AU296" s="1">
        <v>33.99</v>
      </c>
      <c r="AV296" s="2" t="s">
        <v>60</v>
      </c>
      <c r="AW296" s="1">
        <v>741.447</v>
      </c>
      <c r="AX296" s="1">
        <f>Table1[[#This Row],[Original Commissionable GMV]]-Table1[[#This Row],[Commission ]]-Table1[[#This Row],[Commission VAT]]-Table1[[#This Row],[FreeDeliveryFund]]</f>
        <v>632.19556720000003</v>
      </c>
      <c r="AY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M296" s="2"/>
    </row>
    <row r="297" spans="12:65" x14ac:dyDescent="0.25">
      <c r="L297" s="2">
        <v>504016</v>
      </c>
      <c r="M297" s="2" t="s">
        <v>52</v>
      </c>
      <c r="N297" s="2">
        <v>505839</v>
      </c>
      <c r="O297" t="s">
        <v>63</v>
      </c>
      <c r="P297">
        <v>3393909781</v>
      </c>
      <c r="Q297" s="5">
        <v>46033.685601851852</v>
      </c>
      <c r="R297" s="2" t="s">
        <v>62</v>
      </c>
      <c r="S297" s="2" t="s">
        <v>51</v>
      </c>
      <c r="T297" s="2" t="s">
        <v>55</v>
      </c>
      <c r="U297" s="2" t="s">
        <v>56</v>
      </c>
      <c r="V297" s="2" t="s">
        <v>57</v>
      </c>
      <c r="W297" s="2" t="s">
        <v>58</v>
      </c>
      <c r="X297" s="2" t="s">
        <v>59</v>
      </c>
      <c r="Y297" s="1">
        <v>771.97</v>
      </c>
      <c r="Z297" s="1">
        <v>771.97</v>
      </c>
      <c r="AA297" s="1">
        <v>29.99</v>
      </c>
      <c r="AB297" s="1">
        <v>29.99</v>
      </c>
      <c r="AC297" s="1">
        <v>0</v>
      </c>
      <c r="AD297" s="1">
        <v>102.16930000000001</v>
      </c>
      <c r="AE297" s="1">
        <v>831.95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45</v>
      </c>
      <c r="AM297" s="1">
        <v>0</v>
      </c>
      <c r="AN297" s="1">
        <v>0</v>
      </c>
      <c r="AO297" s="1">
        <v>0</v>
      </c>
      <c r="AP297" s="1">
        <v>0</v>
      </c>
      <c r="AQ297" s="1">
        <v>677.16666999999995</v>
      </c>
      <c r="AR297" s="1">
        <v>677.16666999999995</v>
      </c>
      <c r="AS297" s="1">
        <v>169.29167000000001</v>
      </c>
      <c r="AT297" s="1">
        <v>23.700833800000002</v>
      </c>
      <c r="AU297" s="1">
        <v>0</v>
      </c>
      <c r="AV297" s="2" t="s">
        <v>69</v>
      </c>
      <c r="AW297" s="1">
        <v>578.97699999999998</v>
      </c>
      <c r="AX297" s="1">
        <f>Table1[[#This Row],[Original Commissionable GMV]]-Table1[[#This Row],[Commission ]]-Table1[[#This Row],[Commission VAT]]-Table1[[#This Row],[FreeDeliveryFund]]</f>
        <v>484.17416619999995</v>
      </c>
      <c r="AY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M297" s="2"/>
    </row>
    <row r="298" spans="12:65" x14ac:dyDescent="0.25">
      <c r="L298" s="2">
        <v>504016</v>
      </c>
      <c r="M298" s="2" t="s">
        <v>52</v>
      </c>
      <c r="N298" s="2">
        <v>505839</v>
      </c>
      <c r="O298" t="s">
        <v>53</v>
      </c>
      <c r="P298">
        <v>3393934828</v>
      </c>
      <c r="Q298" s="5">
        <v>46033.693842592591</v>
      </c>
      <c r="R298" s="2" t="s">
        <v>54</v>
      </c>
      <c r="S298" s="2" t="s">
        <v>51</v>
      </c>
      <c r="T298" s="2" t="s">
        <v>55</v>
      </c>
      <c r="U298" s="2" t="s">
        <v>56</v>
      </c>
      <c r="V298" s="2" t="s">
        <v>57</v>
      </c>
      <c r="W298" s="2" t="s">
        <v>58</v>
      </c>
      <c r="X298" s="2" t="s">
        <v>59</v>
      </c>
      <c r="Y298" s="1">
        <v>429.99</v>
      </c>
      <c r="Z298" s="1">
        <v>429.99</v>
      </c>
      <c r="AA298" s="1">
        <v>34.99</v>
      </c>
      <c r="AB298" s="1">
        <v>21.5</v>
      </c>
      <c r="AC298" s="1">
        <v>0</v>
      </c>
      <c r="AD298" s="1">
        <v>59.743160000000003</v>
      </c>
      <c r="AE298" s="1">
        <v>486.48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7.5248249999999999</v>
      </c>
      <c r="AP298" s="1">
        <v>1.0534755</v>
      </c>
      <c r="AQ298" s="1">
        <v>377.18421000000001</v>
      </c>
      <c r="AR298" s="1">
        <v>377.18421000000001</v>
      </c>
      <c r="AS298" s="1">
        <v>94.296049999999994</v>
      </c>
      <c r="AT298" s="1">
        <v>13.201447</v>
      </c>
      <c r="AU298" s="1">
        <v>0</v>
      </c>
      <c r="AV298" s="2" t="s">
        <v>69</v>
      </c>
      <c r="AW298" s="1">
        <v>313.91399999999999</v>
      </c>
      <c r="AX298" s="1">
        <f>Table1[[#This Row],[Original Commissionable GMV]]-Table1[[#This Row],[Commission ]]-Table1[[#This Row],[Commission VAT]]-Table1[[#This Row],[FreeDeliveryFund]]</f>
        <v>269.68671300000005</v>
      </c>
      <c r="AY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M298" s="2"/>
    </row>
    <row r="299" spans="12:65" x14ac:dyDescent="0.25">
      <c r="L299" s="2">
        <v>504016</v>
      </c>
      <c r="M299" s="2" t="s">
        <v>52</v>
      </c>
      <c r="N299" s="2">
        <v>505839</v>
      </c>
      <c r="O299" t="s">
        <v>63</v>
      </c>
      <c r="P299">
        <v>3393947540</v>
      </c>
      <c r="Q299" s="5">
        <v>46033.697997685187</v>
      </c>
      <c r="R299" s="2" t="s">
        <v>54</v>
      </c>
      <c r="S299" s="2" t="s">
        <v>51</v>
      </c>
      <c r="T299" s="2" t="s">
        <v>55</v>
      </c>
      <c r="U299" s="2" t="s">
        <v>59</v>
      </c>
      <c r="V299" s="2" t="s">
        <v>57</v>
      </c>
      <c r="W299" s="2" t="s">
        <v>58</v>
      </c>
      <c r="X299" s="2" t="s">
        <v>59</v>
      </c>
      <c r="Y299" s="1">
        <v>352</v>
      </c>
      <c r="Z299" s="1">
        <v>352</v>
      </c>
      <c r="AA299" s="1">
        <v>0</v>
      </c>
      <c r="AB299" s="1">
        <v>17.600000000000001</v>
      </c>
      <c r="AC299" s="1">
        <v>0</v>
      </c>
      <c r="AD299" s="1">
        <v>45.389470000000003</v>
      </c>
      <c r="AE299" s="1">
        <v>369.6</v>
      </c>
      <c r="AG299" s="1">
        <v>0</v>
      </c>
      <c r="AH299" s="1">
        <v>0</v>
      </c>
      <c r="AI299" s="1">
        <v>430.92</v>
      </c>
      <c r="AJ299" s="1">
        <v>0</v>
      </c>
      <c r="AK299" s="1">
        <v>430.92</v>
      </c>
      <c r="AL299" s="1">
        <v>0</v>
      </c>
      <c r="AM299" s="1">
        <v>0</v>
      </c>
      <c r="AN299" s="1">
        <v>0</v>
      </c>
      <c r="AO299" s="1">
        <v>6.16</v>
      </c>
      <c r="AP299" s="1">
        <v>0.86240000000000006</v>
      </c>
      <c r="AQ299" s="1">
        <v>308.77193</v>
      </c>
      <c r="AR299" s="1">
        <v>308.77193</v>
      </c>
      <c r="AS299" s="1">
        <v>77.192980000000006</v>
      </c>
      <c r="AT299" s="1">
        <v>10.807017200000001</v>
      </c>
      <c r="AU299" s="1">
        <v>27.99</v>
      </c>
      <c r="AV299" s="2" t="s">
        <v>60</v>
      </c>
      <c r="AW299" s="1">
        <v>228.988</v>
      </c>
      <c r="AX299" s="1">
        <f>Table1[[#This Row],[Original Commissionable GMV]]-Table1[[#This Row],[Commission ]]-Table1[[#This Row],[Commission VAT]]-Table1[[#This Row],[FreeDeliveryFund]]</f>
        <v>192.78193279999999</v>
      </c>
      <c r="AY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M299" s="2"/>
    </row>
    <row r="300" spans="12:65" x14ac:dyDescent="0.25">
      <c r="L300" s="2">
        <v>504016</v>
      </c>
      <c r="M300" s="2" t="s">
        <v>52</v>
      </c>
      <c r="N300" s="2">
        <v>505835</v>
      </c>
      <c r="O300" t="s">
        <v>63</v>
      </c>
      <c r="P300">
        <v>3394028346</v>
      </c>
      <c r="Q300" s="5">
        <v>46033.723182870373</v>
      </c>
      <c r="R300" s="2" t="s">
        <v>54</v>
      </c>
      <c r="S300" s="2" t="s">
        <v>51</v>
      </c>
      <c r="T300" s="2" t="s">
        <v>55</v>
      </c>
      <c r="U300" s="2" t="s">
        <v>56</v>
      </c>
      <c r="V300" s="2" t="s">
        <v>57</v>
      </c>
      <c r="W300" s="2" t="s">
        <v>58</v>
      </c>
      <c r="X300" s="2" t="s">
        <v>59</v>
      </c>
      <c r="Y300" s="1">
        <v>699.97</v>
      </c>
      <c r="Z300" s="1">
        <v>699.97</v>
      </c>
      <c r="AA300" s="1">
        <v>36.99</v>
      </c>
      <c r="AB300" s="1">
        <v>29.99</v>
      </c>
      <c r="AC300" s="1">
        <v>0</v>
      </c>
      <c r="AD300" s="1">
        <v>94.186840000000004</v>
      </c>
      <c r="AE300" s="1">
        <v>766.95</v>
      </c>
      <c r="AG300" s="1">
        <v>0</v>
      </c>
      <c r="AH300" s="1">
        <v>0</v>
      </c>
      <c r="AI300" s="1">
        <v>0</v>
      </c>
      <c r="AJ300" s="1">
        <v>70</v>
      </c>
      <c r="AK300" s="1">
        <v>0</v>
      </c>
      <c r="AL300" s="1">
        <v>0</v>
      </c>
      <c r="AM300" s="1">
        <v>0</v>
      </c>
      <c r="AN300" s="1">
        <v>0</v>
      </c>
      <c r="AO300" s="1">
        <v>12.249475</v>
      </c>
      <c r="AP300" s="1">
        <v>1.7149265</v>
      </c>
      <c r="AQ300" s="1">
        <v>614.00877000000003</v>
      </c>
      <c r="AR300" s="1">
        <v>614.00877000000003</v>
      </c>
      <c r="AS300" s="1">
        <v>153.50219000000001</v>
      </c>
      <c r="AT300" s="1">
        <v>21.4903066</v>
      </c>
      <c r="AU300" s="1">
        <v>0</v>
      </c>
      <c r="AV300" s="2" t="s">
        <v>69</v>
      </c>
      <c r="AW300" s="1">
        <v>511.01299999999998</v>
      </c>
      <c r="AX300" s="1">
        <f>Table1[[#This Row],[Original Commissionable GMV]]-Table1[[#This Row],[Commission ]]-Table1[[#This Row],[Commission VAT]]-Table1[[#This Row],[FreeDeliveryFund]]</f>
        <v>439.01627339999999</v>
      </c>
      <c r="AY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M300" s="2"/>
    </row>
    <row r="301" spans="12:65" x14ac:dyDescent="0.25">
      <c r="L301" s="2">
        <v>504016</v>
      </c>
      <c r="M301" s="2" t="s">
        <v>52</v>
      </c>
      <c r="N301" s="2">
        <v>505839</v>
      </c>
      <c r="O301" t="s">
        <v>65</v>
      </c>
      <c r="P301">
        <v>3394074435</v>
      </c>
      <c r="Q301" s="5">
        <v>46033.736967592595</v>
      </c>
      <c r="R301" s="2" t="s">
        <v>62</v>
      </c>
      <c r="S301" s="2" t="s">
        <v>51</v>
      </c>
      <c r="T301" s="2" t="s">
        <v>55</v>
      </c>
      <c r="U301" s="2" t="s">
        <v>56</v>
      </c>
      <c r="V301" s="2" t="s">
        <v>57</v>
      </c>
      <c r="W301" s="2" t="s">
        <v>58</v>
      </c>
      <c r="X301" s="2" t="s">
        <v>59</v>
      </c>
      <c r="Y301" s="1">
        <v>691.99</v>
      </c>
      <c r="Z301" s="1">
        <v>691.99</v>
      </c>
      <c r="AA301" s="1">
        <v>29.99</v>
      </c>
      <c r="AB301" s="1">
        <v>29.99</v>
      </c>
      <c r="AC301" s="1">
        <v>0</v>
      </c>
      <c r="AD301" s="1">
        <v>92.347189999999998</v>
      </c>
      <c r="AE301" s="1">
        <v>751.97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607.00877000000003</v>
      </c>
      <c r="AR301" s="1">
        <v>607.00877000000003</v>
      </c>
      <c r="AS301" s="1">
        <v>151.75219000000001</v>
      </c>
      <c r="AT301" s="1">
        <v>21.245306599999999</v>
      </c>
      <c r="AU301" s="1">
        <v>0</v>
      </c>
      <c r="AV301" s="2" t="s">
        <v>69</v>
      </c>
      <c r="AW301" s="1">
        <v>518.99300000000005</v>
      </c>
      <c r="AX301" s="1">
        <f>Table1[[#This Row],[Original Commissionable GMV]]-Table1[[#This Row],[Commission ]]-Table1[[#This Row],[Commission VAT]]-Table1[[#This Row],[FreeDeliveryFund]]</f>
        <v>434.01127339999999</v>
      </c>
      <c r="AY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M301" s="2"/>
    </row>
    <row r="302" spans="12:65" x14ac:dyDescent="0.25">
      <c r="L302" s="2">
        <v>504016</v>
      </c>
      <c r="M302" s="2" t="s">
        <v>52</v>
      </c>
      <c r="N302" s="2">
        <v>505839</v>
      </c>
      <c r="O302" t="s">
        <v>53</v>
      </c>
      <c r="P302">
        <v>3394107356</v>
      </c>
      <c r="Q302" s="5">
        <v>46033.746550925927</v>
      </c>
      <c r="R302" s="2" t="s">
        <v>54</v>
      </c>
      <c r="S302" s="2" t="s">
        <v>51</v>
      </c>
      <c r="T302" s="2" t="s">
        <v>77</v>
      </c>
      <c r="U302" s="2" t="s">
        <v>56</v>
      </c>
      <c r="V302" s="2" t="s">
        <v>57</v>
      </c>
      <c r="W302" s="2" t="s">
        <v>58</v>
      </c>
      <c r="X302" s="2" t="s">
        <v>59</v>
      </c>
      <c r="Y302" s="1">
        <v>859.98</v>
      </c>
      <c r="Z302" s="1">
        <v>859.98</v>
      </c>
      <c r="AA302" s="1">
        <v>0</v>
      </c>
      <c r="AB302" s="1">
        <v>0</v>
      </c>
      <c r="AC302" s="1">
        <v>0</v>
      </c>
      <c r="AD302" s="1">
        <v>89.769469999999998</v>
      </c>
      <c r="AE302" s="1">
        <v>730.98</v>
      </c>
      <c r="AG302" s="1">
        <v>0</v>
      </c>
      <c r="AH302" s="1">
        <v>129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15.0497025</v>
      </c>
      <c r="AP302" s="1">
        <v>2.1069583500000002</v>
      </c>
      <c r="AQ302" s="1">
        <v>754.36842000000001</v>
      </c>
      <c r="AR302" s="1">
        <v>754.36842000000001</v>
      </c>
      <c r="AS302" s="1">
        <v>188.59210999999999</v>
      </c>
      <c r="AT302" s="1">
        <v>26.402895399999998</v>
      </c>
      <c r="AU302" s="1">
        <v>0</v>
      </c>
      <c r="AV302" s="2" t="s">
        <v>69</v>
      </c>
      <c r="AW302" s="1">
        <v>627.82799999999997</v>
      </c>
      <c r="AX302" s="1">
        <f>Table1[[#This Row],[Original Commissionable GMV]]-Table1[[#This Row],[Commission ]]-Table1[[#This Row],[Commission VAT]]-Table1[[#This Row],[FreeDeliveryFund]]</f>
        <v>539.37341459999993</v>
      </c>
      <c r="AY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M302" s="2"/>
    </row>
    <row r="303" spans="12:65" x14ac:dyDescent="0.25">
      <c r="L303" s="2">
        <v>504016</v>
      </c>
      <c r="M303" s="2" t="s">
        <v>52</v>
      </c>
      <c r="N303" s="2">
        <v>505839</v>
      </c>
      <c r="O303" t="s">
        <v>65</v>
      </c>
      <c r="P303">
        <v>3394129828</v>
      </c>
      <c r="Q303" s="5">
        <v>46033.753020833334</v>
      </c>
      <c r="R303" s="2" t="s">
        <v>54</v>
      </c>
      <c r="S303" s="2" t="s">
        <v>51</v>
      </c>
      <c r="T303" s="2" t="s">
        <v>55</v>
      </c>
      <c r="U303" s="2" t="s">
        <v>56</v>
      </c>
      <c r="V303" s="2" t="s">
        <v>57</v>
      </c>
      <c r="W303" s="2" t="s">
        <v>58</v>
      </c>
      <c r="X303" s="2" t="s">
        <v>59</v>
      </c>
      <c r="Y303" s="1">
        <v>329</v>
      </c>
      <c r="Z303" s="1">
        <v>329</v>
      </c>
      <c r="AA303" s="1">
        <v>0</v>
      </c>
      <c r="AB303" s="1">
        <v>16.45</v>
      </c>
      <c r="AC303" s="1">
        <v>0</v>
      </c>
      <c r="AD303" s="1">
        <v>42.423679999999997</v>
      </c>
      <c r="AE303" s="1">
        <v>345.45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5.7575000000000003</v>
      </c>
      <c r="AP303" s="1">
        <v>0.80605000000000004</v>
      </c>
      <c r="AQ303" s="1">
        <v>288.59649000000002</v>
      </c>
      <c r="AR303" s="1">
        <v>288.59649000000002</v>
      </c>
      <c r="AS303" s="1">
        <v>72.149119999999996</v>
      </c>
      <c r="AT303" s="1">
        <v>10.1008768</v>
      </c>
      <c r="AU303" s="1">
        <v>28.99</v>
      </c>
      <c r="AV303" s="2" t="s">
        <v>60</v>
      </c>
      <c r="AW303" s="1">
        <v>211.196</v>
      </c>
      <c r="AX303" s="1">
        <f>Table1[[#This Row],[Original Commissionable GMV]]-Table1[[#This Row],[Commission ]]-Table1[[#This Row],[Commission VAT]]-Table1[[#This Row],[FreeDeliveryFund]]</f>
        <v>177.35649320000002</v>
      </c>
      <c r="AY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M303" s="2"/>
    </row>
    <row r="304" spans="12:65" x14ac:dyDescent="0.25">
      <c r="L304" s="2">
        <v>504016</v>
      </c>
      <c r="M304" s="2" t="s">
        <v>52</v>
      </c>
      <c r="N304" s="2">
        <v>505837</v>
      </c>
      <c r="O304" t="s">
        <v>63</v>
      </c>
      <c r="P304">
        <v>3394135685</v>
      </c>
      <c r="Q304" s="5">
        <v>46033.754699074074</v>
      </c>
      <c r="R304" s="2" t="s">
        <v>54</v>
      </c>
      <c r="S304" s="2" t="s">
        <v>51</v>
      </c>
      <c r="T304" s="2" t="s">
        <v>55</v>
      </c>
      <c r="U304" s="2" t="s">
        <v>59</v>
      </c>
      <c r="V304" s="2" t="s">
        <v>57</v>
      </c>
      <c r="W304" s="2" t="s">
        <v>58</v>
      </c>
      <c r="X304" s="2" t="s">
        <v>59</v>
      </c>
      <c r="Y304" s="1">
        <v>319.99</v>
      </c>
      <c r="Z304" s="1">
        <v>319.99</v>
      </c>
      <c r="AA304" s="1">
        <v>0</v>
      </c>
      <c r="AB304" s="1">
        <v>16</v>
      </c>
      <c r="AC304" s="1">
        <v>0</v>
      </c>
      <c r="AD304" s="1">
        <v>41.26193</v>
      </c>
      <c r="AE304" s="1">
        <v>335.99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5.5998250000000001</v>
      </c>
      <c r="AP304" s="1">
        <v>0.78397550000000005</v>
      </c>
      <c r="AQ304" s="1">
        <v>280.69297999999998</v>
      </c>
      <c r="AR304" s="1">
        <v>280.69297999999998</v>
      </c>
      <c r="AS304" s="1">
        <v>70.173249999999996</v>
      </c>
      <c r="AT304" s="1">
        <v>9.8242550000000008</v>
      </c>
      <c r="AU304" s="1">
        <v>27.99</v>
      </c>
      <c r="AV304" s="2" t="s">
        <v>60</v>
      </c>
      <c r="AW304" s="1">
        <v>205.619</v>
      </c>
      <c r="AX304" s="1">
        <f>Table1[[#This Row],[Original Commissionable GMV]]-Table1[[#This Row],[Commission ]]-Table1[[#This Row],[Commission VAT]]-Table1[[#This Row],[FreeDeliveryFund]]</f>
        <v>172.70547499999998</v>
      </c>
      <c r="AY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M304" s="2"/>
    </row>
    <row r="305" spans="12:65" x14ac:dyDescent="0.25">
      <c r="L305" s="2">
        <v>504016</v>
      </c>
      <c r="M305" s="2" t="s">
        <v>52</v>
      </c>
      <c r="N305" s="2">
        <v>505837</v>
      </c>
      <c r="O305" t="s">
        <v>53</v>
      </c>
      <c r="P305">
        <v>3394173771</v>
      </c>
      <c r="Q305" s="5">
        <v>46033.765775462962</v>
      </c>
      <c r="R305" s="2" t="s">
        <v>54</v>
      </c>
      <c r="S305" s="2" t="s">
        <v>51</v>
      </c>
      <c r="T305" s="2" t="s">
        <v>55</v>
      </c>
      <c r="U305" s="2" t="s">
        <v>59</v>
      </c>
      <c r="V305" s="2" t="s">
        <v>57</v>
      </c>
      <c r="W305" s="2" t="s">
        <v>58</v>
      </c>
      <c r="X305" s="2" t="s">
        <v>59</v>
      </c>
      <c r="Y305" s="1">
        <v>845.51</v>
      </c>
      <c r="Z305" s="1">
        <v>845.51</v>
      </c>
      <c r="AA305" s="1">
        <v>9</v>
      </c>
      <c r="AB305" s="1">
        <v>29.99</v>
      </c>
      <c r="AC305" s="1">
        <v>0</v>
      </c>
      <c r="AD305" s="1">
        <v>108.62281</v>
      </c>
      <c r="AE305" s="1">
        <v>884.5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14.796424999999999</v>
      </c>
      <c r="AP305" s="1">
        <v>2.0714994999999998</v>
      </c>
      <c r="AQ305" s="1">
        <v>741.67543999999998</v>
      </c>
      <c r="AR305" s="1">
        <v>741.67543999999998</v>
      </c>
      <c r="AS305" s="1">
        <v>185.41886</v>
      </c>
      <c r="AT305" s="1">
        <v>25.9586404</v>
      </c>
      <c r="AU305" s="1">
        <v>35.99</v>
      </c>
      <c r="AV305" s="2" t="s">
        <v>60</v>
      </c>
      <c r="AW305" s="1">
        <v>581.27499999999998</v>
      </c>
      <c r="AX305" s="1">
        <f>Table1[[#This Row],[Original Commissionable GMV]]-Table1[[#This Row],[Commission ]]-Table1[[#This Row],[Commission VAT]]-Table1[[#This Row],[FreeDeliveryFund]]</f>
        <v>494.30793959999994</v>
      </c>
      <c r="AY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M305" s="2"/>
    </row>
    <row r="306" spans="12:65" x14ac:dyDescent="0.25">
      <c r="L306" s="2">
        <v>504016</v>
      </c>
      <c r="M306" s="2" t="s">
        <v>52</v>
      </c>
      <c r="N306" s="2">
        <v>505837</v>
      </c>
      <c r="O306" t="s">
        <v>65</v>
      </c>
      <c r="P306">
        <v>3394187712</v>
      </c>
      <c r="Q306" s="5">
        <v>46033.769675925927</v>
      </c>
      <c r="R306" s="2" t="s">
        <v>66</v>
      </c>
      <c r="S306" s="2" t="s">
        <v>51</v>
      </c>
      <c r="T306" s="2" t="s">
        <v>55</v>
      </c>
      <c r="U306" s="2" t="s">
        <v>56</v>
      </c>
      <c r="V306" s="2" t="s">
        <v>57</v>
      </c>
      <c r="W306" s="2" t="s">
        <v>58</v>
      </c>
      <c r="X306" s="2" t="s">
        <v>59</v>
      </c>
      <c r="Y306" s="1">
        <v>400.98</v>
      </c>
      <c r="Z306" s="1">
        <v>400.98</v>
      </c>
      <c r="AA306" s="1">
        <v>7</v>
      </c>
      <c r="AB306" s="1">
        <v>20.05</v>
      </c>
      <c r="AC306" s="1">
        <v>0</v>
      </c>
      <c r="AD306" s="1">
        <v>52.565089999999998</v>
      </c>
      <c r="AE306" s="1">
        <v>428.03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60</v>
      </c>
      <c r="AM306" s="1">
        <v>0</v>
      </c>
      <c r="AN306" s="1">
        <v>0</v>
      </c>
      <c r="AO306" s="1">
        <v>7.01715</v>
      </c>
      <c r="AP306" s="1">
        <v>0.98240099999999997</v>
      </c>
      <c r="AQ306" s="1">
        <v>351.73683999999997</v>
      </c>
      <c r="AR306" s="1">
        <v>351.73683999999997</v>
      </c>
      <c r="AS306" s="1">
        <v>87.934209999999993</v>
      </c>
      <c r="AT306" s="1">
        <v>12.310789400000001</v>
      </c>
      <c r="AU306" s="1">
        <v>30.99</v>
      </c>
      <c r="AV306" s="2" t="s">
        <v>60</v>
      </c>
      <c r="AW306" s="1">
        <v>261.745</v>
      </c>
      <c r="AX306" s="1">
        <f>Table1[[#This Row],[Original Commissionable GMV]]-Table1[[#This Row],[Commission ]]-Table1[[#This Row],[Commission VAT]]-Table1[[#This Row],[FreeDeliveryFund]]</f>
        <v>220.50184059999995</v>
      </c>
      <c r="AY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M306" s="2"/>
    </row>
    <row r="307" spans="12:65" x14ac:dyDescent="0.25">
      <c r="L307" s="2">
        <v>504016</v>
      </c>
      <c r="M307" s="2" t="s">
        <v>52</v>
      </c>
      <c r="N307" s="2">
        <v>505839</v>
      </c>
      <c r="O307" t="s">
        <v>53</v>
      </c>
      <c r="P307">
        <v>3394190841</v>
      </c>
      <c r="Q307" s="5">
        <v>46033.770590277774</v>
      </c>
      <c r="R307" s="2" t="s">
        <v>54</v>
      </c>
      <c r="S307" s="2" t="s">
        <v>51</v>
      </c>
      <c r="T307" s="2" t="s">
        <v>55</v>
      </c>
      <c r="U307" s="2" t="s">
        <v>59</v>
      </c>
      <c r="V307" s="2" t="s">
        <v>57</v>
      </c>
      <c r="W307" s="2" t="s">
        <v>58</v>
      </c>
      <c r="X307" s="2" t="s">
        <v>59</v>
      </c>
      <c r="Y307" s="1">
        <v>1844.06</v>
      </c>
      <c r="Z307" s="1">
        <v>1844.06</v>
      </c>
      <c r="AA307" s="1">
        <v>33.99</v>
      </c>
      <c r="AB307" s="1">
        <v>29.99</v>
      </c>
      <c r="AC307" s="1">
        <v>0</v>
      </c>
      <c r="AD307" s="1">
        <v>234.32069999999999</v>
      </c>
      <c r="AE307" s="1">
        <v>1908.04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32.271050000000002</v>
      </c>
      <c r="AP307" s="1">
        <v>4.5179470000000004</v>
      </c>
      <c r="AQ307" s="1">
        <v>1617.5964899999999</v>
      </c>
      <c r="AR307" s="1">
        <v>1617.5964899999999</v>
      </c>
      <c r="AS307" s="1">
        <v>404.39911999999998</v>
      </c>
      <c r="AT307" s="1">
        <v>56.615876800000002</v>
      </c>
      <c r="AU307" s="1">
        <v>0</v>
      </c>
      <c r="AV307" s="2" t="s">
        <v>69</v>
      </c>
      <c r="AW307" s="1">
        <v>1346.2560000000001</v>
      </c>
      <c r="AX307" s="1">
        <f>Table1[[#This Row],[Original Commissionable GMV]]-Table1[[#This Row],[Commission ]]-Table1[[#This Row],[Commission VAT]]-Table1[[#This Row],[FreeDeliveryFund]]</f>
        <v>1156.5814931999998</v>
      </c>
      <c r="AY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M307" s="2"/>
    </row>
    <row r="308" spans="12:65" x14ac:dyDescent="0.25">
      <c r="L308" s="2">
        <v>504016</v>
      </c>
      <c r="M308" s="2" t="s">
        <v>52</v>
      </c>
      <c r="N308" s="2">
        <v>505835</v>
      </c>
      <c r="O308" t="s">
        <v>63</v>
      </c>
      <c r="P308">
        <v>3394264138</v>
      </c>
      <c r="Q308" s="5">
        <v>46033.791550925926</v>
      </c>
      <c r="R308" s="2" t="s">
        <v>62</v>
      </c>
      <c r="S308" s="2" t="s">
        <v>51</v>
      </c>
      <c r="T308" s="2" t="s">
        <v>55</v>
      </c>
      <c r="U308" s="2" t="s">
        <v>56</v>
      </c>
      <c r="V308" s="2" t="s">
        <v>57</v>
      </c>
      <c r="W308" s="2" t="s">
        <v>58</v>
      </c>
      <c r="X308" s="2" t="s">
        <v>59</v>
      </c>
      <c r="Y308" s="1">
        <v>266.99</v>
      </c>
      <c r="Z308" s="1">
        <v>266.99</v>
      </c>
      <c r="AA308" s="1">
        <v>0</v>
      </c>
      <c r="AB308" s="1">
        <v>13.35</v>
      </c>
      <c r="AC308" s="1">
        <v>0</v>
      </c>
      <c r="AD308" s="1">
        <v>28.287369999999999</v>
      </c>
      <c r="AE308" s="1">
        <v>230.34</v>
      </c>
      <c r="AG308" s="1">
        <v>0</v>
      </c>
      <c r="AH308" s="1">
        <v>50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234.20175</v>
      </c>
      <c r="AR308" s="1">
        <v>234.20175</v>
      </c>
      <c r="AS308" s="1">
        <v>58.550440000000002</v>
      </c>
      <c r="AT308" s="1">
        <v>8.1970615999999996</v>
      </c>
      <c r="AU308" s="1">
        <v>27.99</v>
      </c>
      <c r="AV308" s="2" t="s">
        <v>60</v>
      </c>
      <c r="AW308" s="1">
        <v>172.25200000000001</v>
      </c>
      <c r="AX308" s="1">
        <f>Table1[[#This Row],[Original Commissionable GMV]]-Table1[[#This Row],[Commission ]]-Table1[[#This Row],[Commission VAT]]-Table1[[#This Row],[FreeDeliveryFund]]</f>
        <v>139.46424839999997</v>
      </c>
      <c r="AY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M308" s="2"/>
    </row>
    <row r="309" spans="12:65" x14ac:dyDescent="0.25">
      <c r="L309" s="2">
        <v>504016</v>
      </c>
      <c r="M309" s="2" t="s">
        <v>52</v>
      </c>
      <c r="N309" s="2">
        <v>505837</v>
      </c>
      <c r="O309" t="s">
        <v>53</v>
      </c>
      <c r="P309">
        <v>3394350328</v>
      </c>
      <c r="Q309" s="5">
        <v>46033.816527777781</v>
      </c>
      <c r="R309" s="2" t="s">
        <v>54</v>
      </c>
      <c r="S309" s="2" t="s">
        <v>51</v>
      </c>
      <c r="T309" s="2" t="s">
        <v>55</v>
      </c>
      <c r="U309" s="2" t="s">
        <v>56</v>
      </c>
      <c r="V309" s="2" t="s">
        <v>57</v>
      </c>
      <c r="W309" s="2" t="s">
        <v>58</v>
      </c>
      <c r="X309" s="2" t="s">
        <v>59</v>
      </c>
      <c r="Y309" s="1">
        <v>1562.95</v>
      </c>
      <c r="Z309" s="1">
        <v>1562.95</v>
      </c>
      <c r="AA309" s="1">
        <v>0</v>
      </c>
      <c r="AB309" s="1">
        <v>29.99</v>
      </c>
      <c r="AC309" s="1">
        <v>0</v>
      </c>
      <c r="AD309" s="1">
        <v>195.62421000000001</v>
      </c>
      <c r="AE309" s="1">
        <v>1592.94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27.351623249999999</v>
      </c>
      <c r="AP309" s="1">
        <v>3.8292272550000002</v>
      </c>
      <c r="AQ309" s="1">
        <v>1371.0087699999999</v>
      </c>
      <c r="AR309" s="1">
        <v>1371.0087699999999</v>
      </c>
      <c r="AS309" s="1">
        <v>342.75218999999998</v>
      </c>
      <c r="AT309" s="1">
        <v>47.985306600000001</v>
      </c>
      <c r="AU309" s="1">
        <v>31.99</v>
      </c>
      <c r="AV309" s="2" t="s">
        <v>60</v>
      </c>
      <c r="AW309" s="1">
        <v>1109.0419999999999</v>
      </c>
      <c r="AX309" s="1">
        <f>Table1[[#This Row],[Original Commissionable GMV]]-Table1[[#This Row],[Commission ]]-Table1[[#This Row],[Commission VAT]]-Table1[[#This Row],[FreeDeliveryFund]]</f>
        <v>948.28127339999992</v>
      </c>
      <c r="AY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M309" s="2"/>
    </row>
    <row r="310" spans="12:65" x14ac:dyDescent="0.25">
      <c r="L310" s="2">
        <v>504016</v>
      </c>
      <c r="M310" s="2" t="s">
        <v>52</v>
      </c>
      <c r="N310" s="2">
        <v>505839</v>
      </c>
      <c r="O310" t="s">
        <v>65</v>
      </c>
      <c r="P310">
        <v>3394543003</v>
      </c>
      <c r="Q310" s="5">
        <v>46033.876122685186</v>
      </c>
      <c r="R310" s="2" t="s">
        <v>62</v>
      </c>
      <c r="S310" s="2" t="s">
        <v>51</v>
      </c>
      <c r="T310" s="2" t="s">
        <v>55</v>
      </c>
      <c r="U310" s="2" t="s">
        <v>56</v>
      </c>
      <c r="V310" s="2" t="s">
        <v>57</v>
      </c>
      <c r="W310" s="2" t="s">
        <v>58</v>
      </c>
      <c r="X310" s="2" t="s">
        <v>59</v>
      </c>
      <c r="Y310" s="1">
        <v>405.99</v>
      </c>
      <c r="Z310" s="1">
        <v>405.99</v>
      </c>
      <c r="AA310" s="1">
        <v>0</v>
      </c>
      <c r="AB310" s="1">
        <v>20.3</v>
      </c>
      <c r="AC310" s="1">
        <v>0</v>
      </c>
      <c r="AD310" s="1">
        <v>52.351399999999998</v>
      </c>
      <c r="AE310" s="1">
        <v>426.29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356.13157999999999</v>
      </c>
      <c r="AR310" s="1">
        <v>356.13157999999999</v>
      </c>
      <c r="AS310" s="1">
        <v>89.032899999999998</v>
      </c>
      <c r="AT310" s="1">
        <v>12.464606</v>
      </c>
      <c r="AU310" s="1">
        <v>28.99</v>
      </c>
      <c r="AV310" s="2" t="s">
        <v>60</v>
      </c>
      <c r="AW310" s="1">
        <v>275.50200000000001</v>
      </c>
      <c r="AX310" s="1">
        <f>Table1[[#This Row],[Original Commissionable GMV]]-Table1[[#This Row],[Commission ]]-Table1[[#This Row],[Commission VAT]]-Table1[[#This Row],[FreeDeliveryFund]]</f>
        <v>225.64407399999999</v>
      </c>
      <c r="AY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M310" s="2"/>
    </row>
    <row r="311" spans="12:65" x14ac:dyDescent="0.25">
      <c r="L311" s="2">
        <v>504016</v>
      </c>
      <c r="M311" s="2" t="s">
        <v>52</v>
      </c>
      <c r="N311" s="2">
        <v>505839</v>
      </c>
      <c r="O311" t="s">
        <v>63</v>
      </c>
      <c r="P311">
        <v>3394566914</v>
      </c>
      <c r="Q311" s="5">
        <v>46033.884375000001</v>
      </c>
      <c r="R311" s="2" t="s">
        <v>54</v>
      </c>
      <c r="S311" s="2" t="s">
        <v>51</v>
      </c>
      <c r="T311" s="2" t="s">
        <v>55</v>
      </c>
      <c r="U311" s="2" t="s">
        <v>56</v>
      </c>
      <c r="V311" s="2" t="s">
        <v>57</v>
      </c>
      <c r="W311" s="2" t="s">
        <v>58</v>
      </c>
      <c r="X311" s="2" t="s">
        <v>59</v>
      </c>
      <c r="Y311" s="1">
        <v>341.58</v>
      </c>
      <c r="Z311" s="1">
        <v>341.58</v>
      </c>
      <c r="AA311" s="1">
        <v>0</v>
      </c>
      <c r="AB311" s="1">
        <v>17.079999999999998</v>
      </c>
      <c r="AC311" s="1">
        <v>0</v>
      </c>
      <c r="AD311" s="1">
        <v>44.045960000000001</v>
      </c>
      <c r="AE311" s="1">
        <v>358.66</v>
      </c>
      <c r="AG311" s="1">
        <v>0</v>
      </c>
      <c r="AH311" s="1">
        <v>0</v>
      </c>
      <c r="AI311" s="1">
        <v>132.24</v>
      </c>
      <c r="AJ311" s="1">
        <v>0</v>
      </c>
      <c r="AK311" s="1">
        <v>132.24</v>
      </c>
      <c r="AL311" s="1">
        <v>0</v>
      </c>
      <c r="AM311" s="1">
        <v>0</v>
      </c>
      <c r="AN311" s="1">
        <v>0</v>
      </c>
      <c r="AO311" s="1">
        <v>5.9776499999999997</v>
      </c>
      <c r="AP311" s="1">
        <v>0.83687100000000003</v>
      </c>
      <c r="AQ311" s="1">
        <v>299.63157999999999</v>
      </c>
      <c r="AR311" s="1">
        <v>299.63157999999999</v>
      </c>
      <c r="AS311" s="1">
        <v>74.907899999999998</v>
      </c>
      <c r="AT311" s="1">
        <v>10.487106000000001</v>
      </c>
      <c r="AU311" s="1">
        <v>30.99</v>
      </c>
      <c r="AV311" s="2" t="s">
        <v>60</v>
      </c>
      <c r="AW311" s="1">
        <v>218.38</v>
      </c>
      <c r="AX311" s="1">
        <f>Table1[[#This Row],[Original Commissionable GMV]]-Table1[[#This Row],[Commission ]]-Table1[[#This Row],[Commission VAT]]-Table1[[#This Row],[FreeDeliveryFund]]</f>
        <v>183.24657399999998</v>
      </c>
      <c r="AY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M311" s="2"/>
    </row>
    <row r="312" spans="12:65" x14ac:dyDescent="0.25">
      <c r="L312" s="2">
        <v>504016</v>
      </c>
      <c r="M312" s="2" t="s">
        <v>52</v>
      </c>
      <c r="N312" s="2">
        <v>505839</v>
      </c>
      <c r="O312" t="s">
        <v>53</v>
      </c>
      <c r="P312">
        <v>3394610668</v>
      </c>
      <c r="Q312" s="5">
        <v>46033.90053240741</v>
      </c>
      <c r="R312" s="2" t="s">
        <v>54</v>
      </c>
      <c r="S312" s="2" t="s">
        <v>51</v>
      </c>
      <c r="T312" s="2" t="s">
        <v>55</v>
      </c>
      <c r="U312" s="2" t="s">
        <v>59</v>
      </c>
      <c r="V312" s="2" t="s">
        <v>57</v>
      </c>
      <c r="W312" s="2" t="s">
        <v>58</v>
      </c>
      <c r="X312" s="2" t="s">
        <v>59</v>
      </c>
      <c r="Y312" s="1">
        <v>429.99</v>
      </c>
      <c r="Z312" s="1">
        <v>429.99</v>
      </c>
      <c r="AA312" s="1">
        <v>0</v>
      </c>
      <c r="AB312" s="1">
        <v>21.5</v>
      </c>
      <c r="AC312" s="1">
        <v>0</v>
      </c>
      <c r="AD312" s="1">
        <v>55.44614</v>
      </c>
      <c r="AE312" s="1">
        <v>451.49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7.5248249999999999</v>
      </c>
      <c r="AP312" s="1">
        <v>1.0534755</v>
      </c>
      <c r="AQ312" s="1">
        <v>377.18421000000001</v>
      </c>
      <c r="AR312" s="1">
        <v>377.18421000000001</v>
      </c>
      <c r="AS312" s="1">
        <v>94.296049999999994</v>
      </c>
      <c r="AT312" s="1">
        <v>13.201447</v>
      </c>
      <c r="AU312" s="1">
        <v>31.99</v>
      </c>
      <c r="AV312" s="2" t="s">
        <v>60</v>
      </c>
      <c r="AW312" s="1">
        <v>281.92399999999998</v>
      </c>
      <c r="AX312" s="1">
        <f>Table1[[#This Row],[Original Commissionable GMV]]-Table1[[#This Row],[Commission ]]-Table1[[#This Row],[Commission VAT]]-Table1[[#This Row],[FreeDeliveryFund]]</f>
        <v>237.69671300000005</v>
      </c>
      <c r="AY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M312" s="2"/>
    </row>
    <row r="313" spans="12:65" x14ac:dyDescent="0.25">
      <c r="L313" s="2">
        <v>504016</v>
      </c>
      <c r="M313" s="2" t="s">
        <v>52</v>
      </c>
      <c r="N313" s="2">
        <v>505837</v>
      </c>
      <c r="O313" t="s">
        <v>63</v>
      </c>
      <c r="P313">
        <v>3394676684</v>
      </c>
      <c r="Q313" s="5">
        <v>46033.92869212963</v>
      </c>
      <c r="R313" s="2" t="s">
        <v>54</v>
      </c>
      <c r="S313" s="2" t="s">
        <v>51</v>
      </c>
      <c r="T313" s="2" t="s">
        <v>55</v>
      </c>
      <c r="U313" s="2" t="s">
        <v>56</v>
      </c>
      <c r="V313" s="2" t="s">
        <v>57</v>
      </c>
      <c r="W313" s="2" t="s">
        <v>58</v>
      </c>
      <c r="X313" s="2" t="s">
        <v>59</v>
      </c>
      <c r="Y313" s="1">
        <v>1189.94</v>
      </c>
      <c r="Z313" s="1">
        <v>1189.94</v>
      </c>
      <c r="AA313" s="1">
        <v>7</v>
      </c>
      <c r="AB313" s="1">
        <v>29.99</v>
      </c>
      <c r="AC313" s="1">
        <v>0</v>
      </c>
      <c r="AD313" s="1">
        <v>150.67561000000001</v>
      </c>
      <c r="AE313" s="1">
        <v>1226.93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20.823951749999999</v>
      </c>
      <c r="AP313" s="1">
        <v>2.9153532449999999</v>
      </c>
      <c r="AQ313" s="1">
        <v>1043.80702</v>
      </c>
      <c r="AR313" s="1">
        <v>1043.80702</v>
      </c>
      <c r="AS313" s="1">
        <v>260.95175999999998</v>
      </c>
      <c r="AT313" s="1">
        <v>36.533246400000003</v>
      </c>
      <c r="AU313" s="1">
        <v>26.99</v>
      </c>
      <c r="AV313" s="2" t="s">
        <v>60</v>
      </c>
      <c r="AW313" s="1">
        <v>841.726</v>
      </c>
      <c r="AX313" s="1">
        <f>Table1[[#This Row],[Original Commissionable GMV]]-Table1[[#This Row],[Commission ]]-Table1[[#This Row],[Commission VAT]]-Table1[[#This Row],[FreeDeliveryFund]]</f>
        <v>719.33201359999998</v>
      </c>
      <c r="AY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M313" s="2"/>
    </row>
    <row r="314" spans="12:65" x14ac:dyDescent="0.25">
      <c r="L314" s="2">
        <v>504016</v>
      </c>
      <c r="M314" s="2" t="s">
        <v>52</v>
      </c>
      <c r="N314" s="2">
        <v>505837</v>
      </c>
      <c r="O314" t="s">
        <v>53</v>
      </c>
      <c r="P314">
        <v>3394745226</v>
      </c>
      <c r="Q314" s="5">
        <v>46033.967789351853</v>
      </c>
      <c r="R314" s="2" t="s">
        <v>62</v>
      </c>
      <c r="S314" s="2" t="s">
        <v>51</v>
      </c>
      <c r="T314" s="2" t="s">
        <v>55</v>
      </c>
      <c r="U314" s="2" t="s">
        <v>59</v>
      </c>
      <c r="V314" s="2" t="s">
        <v>57</v>
      </c>
      <c r="W314" s="2" t="s">
        <v>58</v>
      </c>
      <c r="X314" s="2" t="s">
        <v>59</v>
      </c>
      <c r="Y314" s="1">
        <v>411.98</v>
      </c>
      <c r="Z314" s="1">
        <v>411.98</v>
      </c>
      <c r="AA314" s="1">
        <v>0</v>
      </c>
      <c r="AB314" s="1">
        <v>20.6</v>
      </c>
      <c r="AC314" s="1">
        <v>0</v>
      </c>
      <c r="AD314" s="1">
        <v>53.123860000000001</v>
      </c>
      <c r="AE314" s="1">
        <v>432.58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361.38596000000001</v>
      </c>
      <c r="AR314" s="1">
        <v>361.38596000000001</v>
      </c>
      <c r="AS314" s="1">
        <v>90.346490000000003</v>
      </c>
      <c r="AT314" s="1">
        <v>12.6485086</v>
      </c>
      <c r="AU314" s="1">
        <v>0</v>
      </c>
      <c r="AV314" s="2" t="s">
        <v>69</v>
      </c>
      <c r="AW314" s="1">
        <v>308.98500000000001</v>
      </c>
      <c r="AX314" s="1">
        <f>Table1[[#This Row],[Original Commissionable GMV]]-Table1[[#This Row],[Commission ]]-Table1[[#This Row],[Commission VAT]]-Table1[[#This Row],[FreeDeliveryFund]]</f>
        <v>258.39096139999998</v>
      </c>
      <c r="AY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M314" s="2"/>
    </row>
    <row r="315" spans="12:65" x14ac:dyDescent="0.25">
      <c r="L315" s="2">
        <v>504016</v>
      </c>
      <c r="M315" s="2" t="s">
        <v>52</v>
      </c>
      <c r="N315" s="2">
        <v>505839</v>
      </c>
      <c r="O315" t="s">
        <v>63</v>
      </c>
      <c r="P315">
        <v>3395197752</v>
      </c>
      <c r="Q315" s="5">
        <v>46034.475821759261</v>
      </c>
      <c r="R315" s="2" t="s">
        <v>62</v>
      </c>
      <c r="S315" s="2" t="s">
        <v>51</v>
      </c>
      <c r="T315" s="2" t="s">
        <v>55</v>
      </c>
      <c r="U315" s="2" t="s">
        <v>56</v>
      </c>
      <c r="V315" s="2" t="s">
        <v>57</v>
      </c>
      <c r="W315" s="2" t="s">
        <v>58</v>
      </c>
      <c r="X315" s="2" t="s">
        <v>59</v>
      </c>
      <c r="Y315" s="1">
        <v>588.99</v>
      </c>
      <c r="Z315" s="1">
        <v>588.99</v>
      </c>
      <c r="AA315" s="1">
        <v>28.99</v>
      </c>
      <c r="AB315" s="1">
        <v>29.45</v>
      </c>
      <c r="AC315" s="1">
        <v>0</v>
      </c>
      <c r="AD315" s="1">
        <v>79.508949999999999</v>
      </c>
      <c r="AE315" s="1">
        <v>647.42999999999995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30</v>
      </c>
      <c r="AN315" s="1">
        <v>4.2</v>
      </c>
      <c r="AO315" s="1">
        <v>0</v>
      </c>
      <c r="AP315" s="1">
        <v>0</v>
      </c>
      <c r="AQ315" s="1">
        <v>516.65788999999995</v>
      </c>
      <c r="AR315" s="1">
        <v>516.65788999999995</v>
      </c>
      <c r="AS315" s="1">
        <v>129.16446999999999</v>
      </c>
      <c r="AT315" s="1">
        <v>18.083025800000001</v>
      </c>
      <c r="AU315" s="1">
        <v>0</v>
      </c>
      <c r="AV315" s="2" t="s">
        <v>69</v>
      </c>
      <c r="AW315" s="1">
        <v>407.54300000000001</v>
      </c>
      <c r="AX315" s="1">
        <f>Table1[[#This Row],[Original Commissionable GMV]]-Table1[[#This Row],[Commission ]]-Table1[[#This Row],[Commission VAT]]-Table1[[#This Row],[FreeDeliveryFund]]</f>
        <v>369.41039419999993</v>
      </c>
      <c r="AY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M315" s="2"/>
    </row>
    <row r="316" spans="12:65" x14ac:dyDescent="0.25">
      <c r="L316" s="2">
        <v>504016</v>
      </c>
      <c r="M316" s="2" t="s">
        <v>52</v>
      </c>
      <c r="N316" s="2">
        <v>505839</v>
      </c>
      <c r="O316" t="s">
        <v>53</v>
      </c>
      <c r="P316">
        <v>3395210572</v>
      </c>
      <c r="Q316" s="5">
        <v>46034.481979166667</v>
      </c>
      <c r="R316" s="2" t="s">
        <v>54</v>
      </c>
      <c r="S316" s="2" t="s">
        <v>51</v>
      </c>
      <c r="T316" s="2" t="s">
        <v>55</v>
      </c>
      <c r="U316" s="2" t="s">
        <v>56</v>
      </c>
      <c r="V316" s="2" t="s">
        <v>57</v>
      </c>
      <c r="W316" s="2" t="s">
        <v>58</v>
      </c>
      <c r="X316" s="2" t="s">
        <v>59</v>
      </c>
      <c r="Y316" s="1">
        <v>178.49</v>
      </c>
      <c r="Z316" s="1">
        <v>209.99</v>
      </c>
      <c r="AA316" s="1">
        <v>0</v>
      </c>
      <c r="AB316" s="1">
        <v>10.5</v>
      </c>
      <c r="AC316" s="1">
        <v>0</v>
      </c>
      <c r="AD316" s="1">
        <v>27.077719999999999</v>
      </c>
      <c r="AE316" s="1">
        <v>188.99</v>
      </c>
      <c r="AG316" s="1">
        <v>0</v>
      </c>
      <c r="AH316" s="1">
        <v>31.5</v>
      </c>
      <c r="AI316" s="1">
        <v>132.24</v>
      </c>
      <c r="AJ316" s="1">
        <v>0</v>
      </c>
      <c r="AK316" s="1">
        <v>132.24</v>
      </c>
      <c r="AL316" s="1">
        <v>0</v>
      </c>
      <c r="AM316" s="1">
        <v>0</v>
      </c>
      <c r="AN316" s="1">
        <v>0</v>
      </c>
      <c r="AO316" s="1">
        <v>3.1235750000000002</v>
      </c>
      <c r="AP316" s="1">
        <v>0.43730049999999998</v>
      </c>
      <c r="AQ316" s="1">
        <v>156.57017999999999</v>
      </c>
      <c r="AR316" s="1">
        <v>156.57017999999999</v>
      </c>
      <c r="AS316" s="1">
        <v>39.14255</v>
      </c>
      <c r="AT316" s="1">
        <v>5.4799569999999997</v>
      </c>
      <c r="AU316" s="1">
        <v>29.99</v>
      </c>
      <c r="AV316" s="2" t="s">
        <v>60</v>
      </c>
      <c r="AW316" s="1">
        <v>100.31699999999999</v>
      </c>
      <c r="AX316" s="1">
        <f>Table1[[#This Row],[Original Commissionable GMV]]-Table1[[#This Row],[Commission ]]-Table1[[#This Row],[Commission VAT]]-Table1[[#This Row],[FreeDeliveryFund]]</f>
        <v>81.957673</v>
      </c>
      <c r="AY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M316" s="2"/>
    </row>
    <row r="317" spans="12:65" x14ac:dyDescent="0.25">
      <c r="L317" s="2">
        <v>504016</v>
      </c>
      <c r="M317" s="2" t="s">
        <v>52</v>
      </c>
      <c r="N317" s="2">
        <v>505839</v>
      </c>
      <c r="O317" t="s">
        <v>63</v>
      </c>
      <c r="P317">
        <v>3395307871</v>
      </c>
      <c r="Q317" s="5">
        <v>46034.525995370372</v>
      </c>
      <c r="R317" s="2" t="s">
        <v>66</v>
      </c>
      <c r="S317" s="2" t="s">
        <v>51</v>
      </c>
      <c r="T317" s="2" t="s">
        <v>55</v>
      </c>
      <c r="U317" s="2" t="s">
        <v>59</v>
      </c>
      <c r="V317" s="2" t="s">
        <v>57</v>
      </c>
      <c r="W317" s="2" t="s">
        <v>58</v>
      </c>
      <c r="X317" s="2" t="s">
        <v>59</v>
      </c>
      <c r="Y317" s="1">
        <v>280.67</v>
      </c>
      <c r="Z317" s="1">
        <v>280.67</v>
      </c>
      <c r="AA317" s="1">
        <v>7</v>
      </c>
      <c r="AB317" s="1">
        <v>14.03</v>
      </c>
      <c r="AC317" s="1">
        <v>0</v>
      </c>
      <c r="AD317" s="1">
        <v>37.050879999999999</v>
      </c>
      <c r="AE317" s="1">
        <v>301.7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4.9117249999999997</v>
      </c>
      <c r="AP317" s="1">
        <v>0.68764150000000002</v>
      </c>
      <c r="AQ317" s="1">
        <v>246.20175</v>
      </c>
      <c r="AR317" s="1">
        <v>246.20175</v>
      </c>
      <c r="AS317" s="1">
        <v>61.550440000000002</v>
      </c>
      <c r="AT317" s="1">
        <v>8.6170615999999995</v>
      </c>
      <c r="AU317" s="1">
        <v>26.99</v>
      </c>
      <c r="AV317" s="2" t="s">
        <v>60</v>
      </c>
      <c r="AW317" s="1">
        <v>177.91300000000001</v>
      </c>
      <c r="AX317" s="1">
        <f>Table1[[#This Row],[Original Commissionable GMV]]-Table1[[#This Row],[Commission ]]-Table1[[#This Row],[Commission VAT]]-Table1[[#This Row],[FreeDeliveryFund]]</f>
        <v>149.04424839999999</v>
      </c>
      <c r="AY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M317" s="2"/>
    </row>
    <row r="318" spans="12:65" x14ac:dyDescent="0.25">
      <c r="L318" s="2">
        <v>504016</v>
      </c>
      <c r="M318" s="2" t="s">
        <v>52</v>
      </c>
      <c r="N318" s="2">
        <v>505837</v>
      </c>
      <c r="O318" t="s">
        <v>53</v>
      </c>
      <c r="P318">
        <v>3395315464</v>
      </c>
      <c r="Q318" s="5">
        <v>46034.529374999998</v>
      </c>
      <c r="R318" s="2" t="s">
        <v>54</v>
      </c>
      <c r="S318" s="2" t="s">
        <v>51</v>
      </c>
      <c r="T318" s="2" t="s">
        <v>55</v>
      </c>
      <c r="U318" s="2" t="s">
        <v>56</v>
      </c>
      <c r="V318" s="2" t="s">
        <v>57</v>
      </c>
      <c r="W318" s="2" t="s">
        <v>58</v>
      </c>
      <c r="X318" s="2" t="s">
        <v>59</v>
      </c>
      <c r="Y318" s="1">
        <v>244.99</v>
      </c>
      <c r="Z318" s="1">
        <v>244.99</v>
      </c>
      <c r="AA318" s="1">
        <v>0</v>
      </c>
      <c r="AB318" s="1">
        <v>12.25</v>
      </c>
      <c r="AC318" s="1">
        <v>0</v>
      </c>
      <c r="AD318" s="1">
        <v>31.590879999999999</v>
      </c>
      <c r="AE318" s="1">
        <v>257.24</v>
      </c>
      <c r="AG318" s="1">
        <v>0</v>
      </c>
      <c r="AH318" s="1">
        <v>0</v>
      </c>
      <c r="AI318" s="1">
        <v>298.68</v>
      </c>
      <c r="AJ318" s="1">
        <v>0</v>
      </c>
      <c r="AK318" s="1">
        <v>298.68</v>
      </c>
      <c r="AL318" s="1">
        <v>0</v>
      </c>
      <c r="AM318" s="1">
        <v>0</v>
      </c>
      <c r="AN318" s="1">
        <v>0</v>
      </c>
      <c r="AO318" s="1">
        <v>4.2873250000000001</v>
      </c>
      <c r="AP318" s="1">
        <v>0.60022549999999997</v>
      </c>
      <c r="AQ318" s="1">
        <v>214.90351000000001</v>
      </c>
      <c r="AR318" s="1">
        <v>214.90351000000001</v>
      </c>
      <c r="AS318" s="1">
        <v>53.725879999999997</v>
      </c>
      <c r="AT318" s="1">
        <v>7.5216231999999996</v>
      </c>
      <c r="AU318" s="1">
        <v>34.99</v>
      </c>
      <c r="AV318" s="2" t="s">
        <v>60</v>
      </c>
      <c r="AW318" s="1">
        <v>143.86500000000001</v>
      </c>
      <c r="AX318" s="1">
        <f>Table1[[#This Row],[Original Commissionable GMV]]-Table1[[#This Row],[Commission ]]-Table1[[#This Row],[Commission VAT]]-Table1[[#This Row],[FreeDeliveryFund]]</f>
        <v>118.66600680000002</v>
      </c>
      <c r="AY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M318" s="2"/>
    </row>
    <row r="319" spans="12:65" x14ac:dyDescent="0.25">
      <c r="L319" s="2">
        <v>504016</v>
      </c>
      <c r="M319" s="2" t="s">
        <v>52</v>
      </c>
      <c r="N319" s="2">
        <v>505839</v>
      </c>
      <c r="O319" t="s">
        <v>53</v>
      </c>
      <c r="P319">
        <v>3395543852</v>
      </c>
      <c r="Q319" s="5">
        <v>46034.625879629632</v>
      </c>
      <c r="R319" s="2" t="s">
        <v>54</v>
      </c>
      <c r="S319" s="2" t="s">
        <v>51</v>
      </c>
      <c r="T319" s="2" t="s">
        <v>55</v>
      </c>
      <c r="U319" s="2" t="s">
        <v>59</v>
      </c>
      <c r="V319" s="2" t="s">
        <v>57</v>
      </c>
      <c r="W319" s="2" t="s">
        <v>58</v>
      </c>
      <c r="X319" s="2" t="s">
        <v>59</v>
      </c>
      <c r="Y319" s="1">
        <v>639.99</v>
      </c>
      <c r="Z319" s="1">
        <v>639.99</v>
      </c>
      <c r="AA319" s="1">
        <v>31.99</v>
      </c>
      <c r="AB319" s="1">
        <v>29.99</v>
      </c>
      <c r="AC319" s="1">
        <v>0</v>
      </c>
      <c r="AD319" s="1">
        <v>86.20684</v>
      </c>
      <c r="AE319" s="1">
        <v>701.97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11.199825000000001</v>
      </c>
      <c r="AP319" s="1">
        <v>1.5679755</v>
      </c>
      <c r="AQ319" s="1">
        <v>561.39473999999996</v>
      </c>
      <c r="AR319" s="1">
        <v>561.39473999999996</v>
      </c>
      <c r="AS319" s="1">
        <v>140.34869</v>
      </c>
      <c r="AT319" s="1">
        <v>19.6488166</v>
      </c>
      <c r="AU319" s="1">
        <v>0</v>
      </c>
      <c r="AV319" s="2" t="s">
        <v>69</v>
      </c>
      <c r="AW319" s="1">
        <v>467.22500000000002</v>
      </c>
      <c r="AX319" s="1">
        <f>Table1[[#This Row],[Original Commissionable GMV]]-Table1[[#This Row],[Commission ]]-Table1[[#This Row],[Commission VAT]]-Table1[[#This Row],[FreeDeliveryFund]]</f>
        <v>401.39723339999995</v>
      </c>
      <c r="AY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M319" s="2"/>
    </row>
    <row r="320" spans="12:65" x14ac:dyDescent="0.25">
      <c r="L320" s="2">
        <v>504016</v>
      </c>
      <c r="M320" s="2" t="s">
        <v>52</v>
      </c>
      <c r="N320" s="2">
        <v>505837</v>
      </c>
      <c r="O320" t="s">
        <v>53</v>
      </c>
      <c r="P320">
        <v>3395572814</v>
      </c>
      <c r="Q320" s="5">
        <v>46034.637199074074</v>
      </c>
      <c r="R320" s="2" t="s">
        <v>54</v>
      </c>
      <c r="S320" s="2" t="s">
        <v>51</v>
      </c>
      <c r="T320" s="2" t="s">
        <v>55</v>
      </c>
      <c r="U320" s="2" t="s">
        <v>59</v>
      </c>
      <c r="V320" s="2" t="s">
        <v>57</v>
      </c>
      <c r="W320" s="2" t="s">
        <v>58</v>
      </c>
      <c r="X320" s="2" t="s">
        <v>59</v>
      </c>
      <c r="Y320" s="1">
        <v>250.99</v>
      </c>
      <c r="Z320" s="1">
        <v>250.99</v>
      </c>
      <c r="AA320" s="1">
        <v>30.99</v>
      </c>
      <c r="AB320" s="1">
        <v>12.55</v>
      </c>
      <c r="AC320" s="1">
        <v>0</v>
      </c>
      <c r="AD320" s="1">
        <v>36.170349999999999</v>
      </c>
      <c r="AE320" s="1">
        <v>294.52999999999997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4.3923249999999996</v>
      </c>
      <c r="AP320" s="1">
        <v>0.61492550000000001</v>
      </c>
      <c r="AQ320" s="1">
        <v>220.16667000000001</v>
      </c>
      <c r="AR320" s="1">
        <v>220.16667000000001</v>
      </c>
      <c r="AS320" s="1">
        <v>55.041670000000003</v>
      </c>
      <c r="AT320" s="1">
        <v>7.7058337999999997</v>
      </c>
      <c r="AU320" s="1">
        <v>0</v>
      </c>
      <c r="AV320" s="2" t="s">
        <v>69</v>
      </c>
      <c r="AW320" s="1">
        <v>183.23500000000001</v>
      </c>
      <c r="AX320" s="1">
        <f>Table1[[#This Row],[Original Commissionable GMV]]-Table1[[#This Row],[Commission ]]-Table1[[#This Row],[Commission VAT]]-Table1[[#This Row],[FreeDeliveryFund]]</f>
        <v>157.41916620000001</v>
      </c>
      <c r="AY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M320" s="2"/>
    </row>
    <row r="321" spans="12:65" x14ac:dyDescent="0.25">
      <c r="L321" s="2">
        <v>504016</v>
      </c>
      <c r="M321" s="2" t="s">
        <v>52</v>
      </c>
      <c r="N321" s="2">
        <v>505837</v>
      </c>
      <c r="O321" t="s">
        <v>63</v>
      </c>
      <c r="P321">
        <v>3395650685</v>
      </c>
      <c r="Q321" s="5">
        <v>46034.66678240741</v>
      </c>
      <c r="R321" s="2" t="s">
        <v>54</v>
      </c>
      <c r="S321" s="2" t="s">
        <v>51</v>
      </c>
      <c r="T321" s="2" t="s">
        <v>55</v>
      </c>
      <c r="U321" s="2" t="s">
        <v>56</v>
      </c>
      <c r="V321" s="2" t="s">
        <v>57</v>
      </c>
      <c r="W321" s="2" t="s">
        <v>58</v>
      </c>
      <c r="X321" s="2" t="s">
        <v>59</v>
      </c>
      <c r="Y321" s="1">
        <v>1791</v>
      </c>
      <c r="Z321" s="1">
        <v>1791</v>
      </c>
      <c r="AA321" s="1">
        <v>0</v>
      </c>
      <c r="AB321" s="1">
        <v>29.99</v>
      </c>
      <c r="AC321" s="1">
        <v>0</v>
      </c>
      <c r="AD321" s="1">
        <v>223.63034999999999</v>
      </c>
      <c r="AE321" s="1">
        <v>1820.99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31.342500000000001</v>
      </c>
      <c r="AP321" s="1">
        <v>4.38795</v>
      </c>
      <c r="AQ321" s="1">
        <v>1571.0526299999999</v>
      </c>
      <c r="AR321" s="1">
        <v>1571.0526299999999</v>
      </c>
      <c r="AS321" s="1">
        <v>392.76316000000003</v>
      </c>
      <c r="AT321" s="1">
        <v>54.9868424</v>
      </c>
      <c r="AU321" s="1">
        <v>28.99</v>
      </c>
      <c r="AV321" s="2" t="s">
        <v>60</v>
      </c>
      <c r="AW321" s="1">
        <v>1278.53</v>
      </c>
      <c r="AX321" s="1">
        <f>Table1[[#This Row],[Original Commissionable GMV]]-Table1[[#This Row],[Commission ]]-Table1[[#This Row],[Commission VAT]]-Table1[[#This Row],[FreeDeliveryFund]]</f>
        <v>1094.3126276</v>
      </c>
      <c r="AY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M321" s="2"/>
    </row>
    <row r="322" spans="12:65" x14ac:dyDescent="0.25">
      <c r="L322" s="2">
        <v>504016</v>
      </c>
      <c r="M322" s="2" t="s">
        <v>52</v>
      </c>
      <c r="N322" s="2">
        <v>505837</v>
      </c>
      <c r="O322" t="s">
        <v>53</v>
      </c>
      <c r="P322">
        <v>3395685803</v>
      </c>
      <c r="Q322" s="5">
        <v>46034.679525462961</v>
      </c>
      <c r="R322" s="2" t="s">
        <v>54</v>
      </c>
      <c r="S322" s="2" t="s">
        <v>51</v>
      </c>
      <c r="T322" s="2" t="s">
        <v>55</v>
      </c>
      <c r="U322" s="2" t="s">
        <v>59</v>
      </c>
      <c r="V322" s="2" t="s">
        <v>57</v>
      </c>
      <c r="W322" s="2" t="s">
        <v>58</v>
      </c>
      <c r="X322" s="2" t="s">
        <v>59</v>
      </c>
      <c r="Y322" s="1">
        <v>1449.64</v>
      </c>
      <c r="Z322" s="1">
        <v>1449.64</v>
      </c>
      <c r="AA322" s="1">
        <v>31.99</v>
      </c>
      <c r="AB322" s="1">
        <v>29.99</v>
      </c>
      <c r="AC322" s="1">
        <v>0</v>
      </c>
      <c r="AD322" s="1">
        <v>185.63754</v>
      </c>
      <c r="AE322" s="1">
        <v>1511.62</v>
      </c>
      <c r="AG322" s="1">
        <v>0</v>
      </c>
      <c r="AH322" s="1">
        <v>0</v>
      </c>
      <c r="AI322" s="1">
        <v>132.24</v>
      </c>
      <c r="AJ322" s="1">
        <v>0</v>
      </c>
      <c r="AK322" s="1">
        <v>132.24</v>
      </c>
      <c r="AL322" s="1">
        <v>0</v>
      </c>
      <c r="AM322" s="1">
        <v>0</v>
      </c>
      <c r="AN322" s="1">
        <v>0</v>
      </c>
      <c r="AO322" s="1">
        <v>25.3687</v>
      </c>
      <c r="AP322" s="1">
        <v>3.5516179999999999</v>
      </c>
      <c r="AQ322" s="1">
        <v>1271.6140399999999</v>
      </c>
      <c r="AR322" s="1">
        <v>1271.6140399999999</v>
      </c>
      <c r="AS322" s="1">
        <v>317.90350999999998</v>
      </c>
      <c r="AT322" s="1">
        <v>44.506491400000002</v>
      </c>
      <c r="AU322" s="1">
        <v>0</v>
      </c>
      <c r="AV322" s="2" t="s">
        <v>69</v>
      </c>
      <c r="AW322" s="1">
        <v>1058.31</v>
      </c>
      <c r="AX322" s="1">
        <f>Table1[[#This Row],[Original Commissionable GMV]]-Table1[[#This Row],[Commission ]]-Table1[[#This Row],[Commission VAT]]-Table1[[#This Row],[FreeDeliveryFund]]</f>
        <v>909.20403859999999</v>
      </c>
      <c r="AY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M322" s="2"/>
    </row>
    <row r="323" spans="12:65" x14ac:dyDescent="0.25">
      <c r="L323" s="2">
        <v>504016</v>
      </c>
      <c r="M323" s="2" t="s">
        <v>52</v>
      </c>
      <c r="N323" s="2">
        <v>505837</v>
      </c>
      <c r="O323" t="s">
        <v>63</v>
      </c>
      <c r="P323">
        <v>3395731188</v>
      </c>
      <c r="Q323" s="5">
        <v>46034.695069444446</v>
      </c>
      <c r="R323" s="2" t="s">
        <v>54</v>
      </c>
      <c r="S323" s="2" t="s">
        <v>51</v>
      </c>
      <c r="T323" s="2" t="s">
        <v>55</v>
      </c>
      <c r="U323" s="2" t="s">
        <v>59</v>
      </c>
      <c r="V323" s="2" t="s">
        <v>57</v>
      </c>
      <c r="W323" s="2" t="s">
        <v>58</v>
      </c>
      <c r="X323" s="2" t="s">
        <v>59</v>
      </c>
      <c r="Y323" s="1">
        <v>811.97</v>
      </c>
      <c r="Z323" s="1">
        <v>811.97</v>
      </c>
      <c r="AA323" s="1">
        <v>0</v>
      </c>
      <c r="AB323" s="1">
        <v>29.99</v>
      </c>
      <c r="AC323" s="1">
        <v>0</v>
      </c>
      <c r="AD323" s="1">
        <v>103.3986</v>
      </c>
      <c r="AE323" s="1">
        <v>841.96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14.209474999999999</v>
      </c>
      <c r="AP323" s="1">
        <v>1.9893265</v>
      </c>
      <c r="AQ323" s="1">
        <v>712.25438999999994</v>
      </c>
      <c r="AR323" s="1">
        <v>712.25438999999994</v>
      </c>
      <c r="AS323" s="1">
        <v>178.06360000000001</v>
      </c>
      <c r="AT323" s="1">
        <v>24.928903999999999</v>
      </c>
      <c r="AU323" s="1">
        <v>29.99</v>
      </c>
      <c r="AV323" s="2" t="s">
        <v>60</v>
      </c>
      <c r="AW323" s="1">
        <v>562.78899999999999</v>
      </c>
      <c r="AX323" s="1">
        <f>Table1[[#This Row],[Original Commissionable GMV]]-Table1[[#This Row],[Commission ]]-Table1[[#This Row],[Commission VAT]]-Table1[[#This Row],[FreeDeliveryFund]]</f>
        <v>479.27188599999988</v>
      </c>
      <c r="AY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M323" s="2"/>
    </row>
    <row r="324" spans="12:65" x14ac:dyDescent="0.25">
      <c r="L324" s="2">
        <v>504016</v>
      </c>
      <c r="M324" s="2" t="s">
        <v>52</v>
      </c>
      <c r="N324" s="2">
        <v>505839</v>
      </c>
      <c r="O324" t="s">
        <v>63</v>
      </c>
      <c r="P324">
        <v>3395749842</v>
      </c>
      <c r="Q324" s="5">
        <v>46034.701145833336</v>
      </c>
      <c r="R324" s="2" t="s">
        <v>54</v>
      </c>
      <c r="S324" s="2" t="s">
        <v>51</v>
      </c>
      <c r="T324" s="2" t="s">
        <v>55</v>
      </c>
      <c r="U324" s="2" t="s">
        <v>56</v>
      </c>
      <c r="V324" s="2" t="s">
        <v>57</v>
      </c>
      <c r="W324" s="2" t="s">
        <v>58</v>
      </c>
      <c r="X324" s="2" t="s">
        <v>59</v>
      </c>
      <c r="Y324" s="1">
        <v>913.66</v>
      </c>
      <c r="Z324" s="1">
        <v>913.66</v>
      </c>
      <c r="AA324" s="1">
        <v>28.99</v>
      </c>
      <c r="AB324" s="1">
        <v>29.99</v>
      </c>
      <c r="AC324" s="1">
        <v>0</v>
      </c>
      <c r="AD324" s="1">
        <v>119.44701999999999</v>
      </c>
      <c r="AE324" s="1">
        <v>972.64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15.989050000000001</v>
      </c>
      <c r="AP324" s="1">
        <v>2.238467</v>
      </c>
      <c r="AQ324" s="1">
        <v>801.45614</v>
      </c>
      <c r="AR324" s="1">
        <v>801.45614</v>
      </c>
      <c r="AS324" s="1">
        <v>200.36403999999999</v>
      </c>
      <c r="AT324" s="1">
        <v>28.050965600000001</v>
      </c>
      <c r="AU324" s="1">
        <v>0</v>
      </c>
      <c r="AV324" s="2" t="s">
        <v>69</v>
      </c>
      <c r="AW324" s="1">
        <v>667.01700000000005</v>
      </c>
      <c r="AX324" s="1">
        <f>Table1[[#This Row],[Original Commissionable GMV]]-Table1[[#This Row],[Commission ]]-Table1[[#This Row],[Commission VAT]]-Table1[[#This Row],[FreeDeliveryFund]]</f>
        <v>573.04113440000003</v>
      </c>
      <c r="AY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M324" s="2"/>
    </row>
    <row r="325" spans="12:65" x14ac:dyDescent="0.25">
      <c r="L325" s="2">
        <v>504016</v>
      </c>
      <c r="M325" s="2" t="s">
        <v>52</v>
      </c>
      <c r="N325" s="2">
        <v>505839</v>
      </c>
      <c r="O325" t="s">
        <v>63</v>
      </c>
      <c r="P325">
        <v>3395853001</v>
      </c>
      <c r="Q325" s="5">
        <v>46034.73332175926</v>
      </c>
      <c r="R325" s="2" t="s">
        <v>54</v>
      </c>
      <c r="S325" s="2" t="s">
        <v>51</v>
      </c>
      <c r="T325" s="2" t="s">
        <v>55</v>
      </c>
      <c r="U325" s="2" t="s">
        <v>56</v>
      </c>
      <c r="V325" s="2" t="s">
        <v>57</v>
      </c>
      <c r="W325" s="2" t="s">
        <v>58</v>
      </c>
      <c r="X325" s="2" t="s">
        <v>59</v>
      </c>
      <c r="Y325" s="1">
        <v>831.98</v>
      </c>
      <c r="Z325" s="1">
        <v>831.98</v>
      </c>
      <c r="AA325" s="1">
        <v>0</v>
      </c>
      <c r="AB325" s="1">
        <v>29.99</v>
      </c>
      <c r="AC325" s="1">
        <v>0</v>
      </c>
      <c r="AD325" s="1">
        <v>105.85596</v>
      </c>
      <c r="AE325" s="1">
        <v>861.97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14.55965</v>
      </c>
      <c r="AP325" s="1">
        <v>2.038351</v>
      </c>
      <c r="AQ325" s="1">
        <v>729.80701999999997</v>
      </c>
      <c r="AR325" s="1">
        <v>729.80701999999997</v>
      </c>
      <c r="AS325" s="1">
        <v>182.45176000000001</v>
      </c>
      <c r="AT325" s="1">
        <v>25.543246400000001</v>
      </c>
      <c r="AU325" s="1">
        <v>26.99</v>
      </c>
      <c r="AV325" s="2" t="s">
        <v>60</v>
      </c>
      <c r="AW325" s="1">
        <v>580.39700000000005</v>
      </c>
      <c r="AX325" s="1">
        <f>Table1[[#This Row],[Original Commissionable GMV]]-Table1[[#This Row],[Commission ]]-Table1[[#This Row],[Commission VAT]]-Table1[[#This Row],[FreeDeliveryFund]]</f>
        <v>494.82201359999988</v>
      </c>
      <c r="AY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M325" s="2"/>
    </row>
    <row r="326" spans="12:65" x14ac:dyDescent="0.25">
      <c r="L326" s="2">
        <v>504016</v>
      </c>
      <c r="M326" s="2" t="s">
        <v>52</v>
      </c>
      <c r="N326" s="2">
        <v>505837</v>
      </c>
      <c r="O326" t="s">
        <v>63</v>
      </c>
      <c r="P326">
        <v>3395853525</v>
      </c>
      <c r="Q326" s="5">
        <v>46034.733495370368</v>
      </c>
      <c r="R326" s="2" t="s">
        <v>54</v>
      </c>
      <c r="S326" s="2" t="s">
        <v>51</v>
      </c>
      <c r="T326" s="2" t="s">
        <v>55</v>
      </c>
      <c r="U326" s="2" t="s">
        <v>56</v>
      </c>
      <c r="V326" s="2" t="s">
        <v>57</v>
      </c>
      <c r="W326" s="2" t="s">
        <v>58</v>
      </c>
      <c r="X326" s="2" t="s">
        <v>59</v>
      </c>
      <c r="Y326" s="1">
        <v>266.99</v>
      </c>
      <c r="Z326" s="1">
        <v>266.99</v>
      </c>
      <c r="AA326" s="1">
        <v>28.99</v>
      </c>
      <c r="AB326" s="1">
        <v>13.35</v>
      </c>
      <c r="AC326" s="1">
        <v>0</v>
      </c>
      <c r="AD326" s="1">
        <v>37.98789</v>
      </c>
      <c r="AE326" s="1">
        <v>309.33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4.6723249999999998</v>
      </c>
      <c r="AP326" s="1">
        <v>0.65412550000000003</v>
      </c>
      <c r="AQ326" s="1">
        <v>234.20175</v>
      </c>
      <c r="AR326" s="1">
        <v>234.20175</v>
      </c>
      <c r="AS326" s="1">
        <v>58.550440000000002</v>
      </c>
      <c r="AT326" s="1">
        <v>8.1970615999999996</v>
      </c>
      <c r="AU326" s="1">
        <v>0</v>
      </c>
      <c r="AV326" s="2" t="s">
        <v>69</v>
      </c>
      <c r="AW326" s="1">
        <v>194.916</v>
      </c>
      <c r="AX326" s="1">
        <f>Table1[[#This Row],[Original Commissionable GMV]]-Table1[[#This Row],[Commission ]]-Table1[[#This Row],[Commission VAT]]-Table1[[#This Row],[FreeDeliveryFund]]</f>
        <v>167.45424839999998</v>
      </c>
      <c r="AY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M326" s="2"/>
    </row>
    <row r="327" spans="12:65" x14ac:dyDescent="0.25">
      <c r="L327" s="2">
        <v>504016</v>
      </c>
      <c r="M327" s="2" t="s">
        <v>52</v>
      </c>
      <c r="N327" s="2">
        <v>505839</v>
      </c>
      <c r="O327" t="s">
        <v>63</v>
      </c>
      <c r="P327">
        <v>3396056915</v>
      </c>
      <c r="Q327" s="5">
        <v>46034.79409722222</v>
      </c>
      <c r="R327" s="2" t="s">
        <v>62</v>
      </c>
      <c r="S327" s="2" t="s">
        <v>51</v>
      </c>
      <c r="T327" s="2" t="s">
        <v>55</v>
      </c>
      <c r="U327" s="2" t="s">
        <v>59</v>
      </c>
      <c r="V327" s="2" t="s">
        <v>57</v>
      </c>
      <c r="W327" s="2" t="s">
        <v>58</v>
      </c>
      <c r="X327" s="2" t="s">
        <v>59</v>
      </c>
      <c r="Y327" s="1">
        <v>491.98</v>
      </c>
      <c r="Z327" s="1">
        <v>491.98</v>
      </c>
      <c r="AA327" s="1">
        <v>0</v>
      </c>
      <c r="AB327" s="1">
        <v>24.6</v>
      </c>
      <c r="AC327" s="1">
        <v>0</v>
      </c>
      <c r="AD327" s="1">
        <v>63.43965</v>
      </c>
      <c r="AE327" s="1">
        <v>516.58000000000004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431.56139999999999</v>
      </c>
      <c r="AR327" s="1">
        <v>431.56139999999999</v>
      </c>
      <c r="AS327" s="1">
        <v>107.89035</v>
      </c>
      <c r="AT327" s="1">
        <v>15.104649</v>
      </c>
      <c r="AU327" s="1">
        <v>27.99</v>
      </c>
      <c r="AV327" s="2" t="s">
        <v>60</v>
      </c>
      <c r="AW327" s="1">
        <v>340.995</v>
      </c>
      <c r="AX327" s="1">
        <f>Table1[[#This Row],[Original Commissionable GMV]]-Table1[[#This Row],[Commission ]]-Table1[[#This Row],[Commission VAT]]-Table1[[#This Row],[FreeDeliveryFund]]</f>
        <v>280.57640099999998</v>
      </c>
      <c r="AY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M327" s="2"/>
    </row>
    <row r="328" spans="12:65" x14ac:dyDescent="0.25">
      <c r="L328" s="2">
        <v>504016</v>
      </c>
      <c r="M328" s="2" t="s">
        <v>52</v>
      </c>
      <c r="N328" s="2">
        <v>505837</v>
      </c>
      <c r="O328" t="s">
        <v>65</v>
      </c>
      <c r="P328">
        <v>3396064640</v>
      </c>
      <c r="Q328" s="5">
        <v>46034.796354166669</v>
      </c>
      <c r="R328" s="2" t="s">
        <v>54</v>
      </c>
      <c r="S328" s="2" t="s">
        <v>51</v>
      </c>
      <c r="T328" s="2" t="s">
        <v>55</v>
      </c>
      <c r="U328" s="2" t="s">
        <v>56</v>
      </c>
      <c r="V328" s="2" t="s">
        <v>57</v>
      </c>
      <c r="W328" s="2" t="s">
        <v>58</v>
      </c>
      <c r="X328" s="2" t="s">
        <v>59</v>
      </c>
      <c r="Y328" s="1">
        <v>790.89</v>
      </c>
      <c r="Z328" s="1">
        <v>790.89</v>
      </c>
      <c r="AA328" s="1">
        <v>27.99</v>
      </c>
      <c r="AB328" s="1">
        <v>29.99</v>
      </c>
      <c r="AC328" s="1">
        <v>0</v>
      </c>
      <c r="AD328" s="1">
        <v>18.28228</v>
      </c>
      <c r="AE328" s="1">
        <v>148.87</v>
      </c>
      <c r="AG328" s="1">
        <v>0</v>
      </c>
      <c r="AH328" s="1">
        <v>700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13.840574999999999</v>
      </c>
      <c r="AP328" s="1">
        <v>1.9376804999999999</v>
      </c>
      <c r="AQ328" s="1">
        <v>693.76315999999997</v>
      </c>
      <c r="AR328" s="1">
        <v>693.76315999999997</v>
      </c>
      <c r="AS328" s="1">
        <v>173.44078999999999</v>
      </c>
      <c r="AT328" s="1">
        <v>24.2817106</v>
      </c>
      <c r="AU328" s="1">
        <v>0</v>
      </c>
      <c r="AV328" s="2" t="s">
        <v>69</v>
      </c>
      <c r="AW328" s="1">
        <v>577.38900000000001</v>
      </c>
      <c r="AX328" s="1">
        <f>Table1[[#This Row],[Original Commissionable GMV]]-Table1[[#This Row],[Commission ]]-Table1[[#This Row],[Commission VAT]]-Table1[[#This Row],[FreeDeliveryFund]]</f>
        <v>496.04065939999998</v>
      </c>
      <c r="AY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M328" s="2"/>
    </row>
    <row r="329" spans="12:65" x14ac:dyDescent="0.25">
      <c r="L329" s="2">
        <v>504016</v>
      </c>
      <c r="M329" s="2" t="s">
        <v>52</v>
      </c>
      <c r="N329" s="2">
        <v>505837</v>
      </c>
      <c r="O329" t="s">
        <v>53</v>
      </c>
      <c r="P329">
        <v>3396287141</v>
      </c>
      <c r="Q329" s="5">
        <v>46034.866712962961</v>
      </c>
      <c r="R329" s="2" t="s">
        <v>54</v>
      </c>
      <c r="S329" s="2" t="s">
        <v>51</v>
      </c>
      <c r="T329" s="2" t="s">
        <v>55</v>
      </c>
      <c r="U329" s="2" t="s">
        <v>59</v>
      </c>
      <c r="V329" s="2" t="s">
        <v>57</v>
      </c>
      <c r="W329" s="2" t="s">
        <v>58</v>
      </c>
      <c r="X329" s="2" t="s">
        <v>59</v>
      </c>
      <c r="Y329" s="1">
        <v>940.98</v>
      </c>
      <c r="Z329" s="1">
        <v>940.98</v>
      </c>
      <c r="AA329" s="1">
        <v>33.99</v>
      </c>
      <c r="AB329" s="1">
        <v>29.99</v>
      </c>
      <c r="AC329" s="1">
        <v>0</v>
      </c>
      <c r="AD329" s="1">
        <v>123.41614</v>
      </c>
      <c r="AE329" s="1">
        <v>1004.96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16.46715</v>
      </c>
      <c r="AP329" s="1">
        <v>2.3054009999999998</v>
      </c>
      <c r="AQ329" s="1">
        <v>825.42105000000004</v>
      </c>
      <c r="AR329" s="1">
        <v>825.42105000000004</v>
      </c>
      <c r="AS329" s="1">
        <v>206.35525999999999</v>
      </c>
      <c r="AT329" s="1">
        <v>28.8897364</v>
      </c>
      <c r="AU329" s="1">
        <v>0</v>
      </c>
      <c r="AV329" s="2" t="s">
        <v>69</v>
      </c>
      <c r="AW329" s="1">
        <v>686.96199999999999</v>
      </c>
      <c r="AX329" s="1">
        <f>Table1[[#This Row],[Original Commissionable GMV]]-Table1[[#This Row],[Commission ]]-Table1[[#This Row],[Commission VAT]]-Table1[[#This Row],[FreeDeliveryFund]]</f>
        <v>590.17605360000016</v>
      </c>
      <c r="AY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M329" s="2"/>
    </row>
    <row r="330" spans="12:65" x14ac:dyDescent="0.25">
      <c r="L330" s="2">
        <v>504016</v>
      </c>
      <c r="M330" s="2" t="s">
        <v>52</v>
      </c>
      <c r="N330" s="2">
        <v>505839</v>
      </c>
      <c r="O330" t="s">
        <v>53</v>
      </c>
      <c r="P330">
        <v>3396505198</v>
      </c>
      <c r="Q330" s="5">
        <v>46034.968576388892</v>
      </c>
      <c r="R330" s="2" t="s">
        <v>54</v>
      </c>
      <c r="S330" s="2" t="s">
        <v>51</v>
      </c>
      <c r="T330" s="2" t="s">
        <v>55</v>
      </c>
      <c r="U330" s="2" t="s">
        <v>56</v>
      </c>
      <c r="V330" s="2" t="s">
        <v>57</v>
      </c>
      <c r="W330" s="2" t="s">
        <v>58</v>
      </c>
      <c r="X330" s="2" t="s">
        <v>59</v>
      </c>
      <c r="Y330" s="1">
        <v>248.48</v>
      </c>
      <c r="Z330" s="1">
        <v>279.98</v>
      </c>
      <c r="AA330" s="1">
        <v>0</v>
      </c>
      <c r="AB330" s="1">
        <v>14</v>
      </c>
      <c r="AC330" s="1">
        <v>0</v>
      </c>
      <c r="AD330" s="1">
        <v>29.999300000000002</v>
      </c>
      <c r="AE330" s="1">
        <v>212.78</v>
      </c>
      <c r="AG330" s="1">
        <v>0</v>
      </c>
      <c r="AH330" s="1">
        <v>81.2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4.3484699999999998</v>
      </c>
      <c r="AP330" s="1">
        <v>0.60878580000000004</v>
      </c>
      <c r="AQ330" s="1">
        <v>217.96491</v>
      </c>
      <c r="AR330" s="1">
        <v>217.96491</v>
      </c>
      <c r="AS330" s="1">
        <v>54.491230000000002</v>
      </c>
      <c r="AT330" s="1">
        <v>7.6287722000000002</v>
      </c>
      <c r="AU330" s="1">
        <v>32.99</v>
      </c>
      <c r="AV330" s="2" t="s">
        <v>60</v>
      </c>
      <c r="AW330" s="1">
        <v>148.41300000000001</v>
      </c>
      <c r="AX330" s="1">
        <f>Table1[[#This Row],[Original Commissionable GMV]]-Table1[[#This Row],[Commission ]]-Table1[[#This Row],[Commission VAT]]-Table1[[#This Row],[FreeDeliveryFund]]</f>
        <v>122.85490779999998</v>
      </c>
      <c r="AY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M330" s="2"/>
    </row>
    <row r="331" spans="12:65" x14ac:dyDescent="0.25">
      <c r="L331" s="2">
        <v>504016</v>
      </c>
      <c r="M331" s="2" t="s">
        <v>52</v>
      </c>
      <c r="N331" s="2">
        <v>505839</v>
      </c>
      <c r="O331" t="s">
        <v>53</v>
      </c>
      <c r="P331">
        <v>3397143331</v>
      </c>
      <c r="Q331" s="5">
        <v>46035.55982638889</v>
      </c>
      <c r="R331" s="2" t="s">
        <v>54</v>
      </c>
      <c r="S331" s="2" t="s">
        <v>51</v>
      </c>
      <c r="T331" s="2" t="s">
        <v>55</v>
      </c>
      <c r="U331" s="2" t="s">
        <v>56</v>
      </c>
      <c r="V331" s="2" t="s">
        <v>57</v>
      </c>
      <c r="W331" s="2" t="s">
        <v>58</v>
      </c>
      <c r="X331" s="2" t="s">
        <v>59</v>
      </c>
      <c r="Y331" s="1">
        <v>356.98</v>
      </c>
      <c r="Z331" s="1">
        <v>356.98</v>
      </c>
      <c r="AA331" s="1">
        <v>0</v>
      </c>
      <c r="AB331" s="1">
        <v>17.850000000000001</v>
      </c>
      <c r="AC331" s="1">
        <v>0</v>
      </c>
      <c r="AD331" s="1">
        <v>46.031750000000002</v>
      </c>
      <c r="AE331" s="1">
        <v>374.83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6.2471500000000004</v>
      </c>
      <c r="AP331" s="1">
        <v>0.87460099999999996</v>
      </c>
      <c r="AQ331" s="1">
        <v>313.14035000000001</v>
      </c>
      <c r="AR331" s="1">
        <v>313.14035000000001</v>
      </c>
      <c r="AS331" s="1">
        <v>78.285089999999997</v>
      </c>
      <c r="AT331" s="1">
        <v>10.959912599999999</v>
      </c>
      <c r="AU331" s="1">
        <v>32.99</v>
      </c>
      <c r="AV331" s="2" t="s">
        <v>60</v>
      </c>
      <c r="AW331" s="1">
        <v>227.62299999999999</v>
      </c>
      <c r="AX331" s="1">
        <f>Table1[[#This Row],[Original Commissionable GMV]]-Table1[[#This Row],[Commission ]]-Table1[[#This Row],[Commission VAT]]-Table1[[#This Row],[FreeDeliveryFund]]</f>
        <v>190.90534740000001</v>
      </c>
      <c r="AY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M331" s="2"/>
    </row>
    <row r="332" spans="12:65" x14ac:dyDescent="0.25">
      <c r="L332" s="2">
        <v>504016</v>
      </c>
      <c r="M332" s="2" t="s">
        <v>52</v>
      </c>
      <c r="N332" s="2">
        <v>505839</v>
      </c>
      <c r="O332" t="s">
        <v>65</v>
      </c>
      <c r="P332">
        <v>3397207440</v>
      </c>
      <c r="Q332" s="5">
        <v>46035.586712962962</v>
      </c>
      <c r="R332" s="2" t="s">
        <v>62</v>
      </c>
      <c r="S332" s="2" t="s">
        <v>51</v>
      </c>
      <c r="T332" s="2" t="s">
        <v>55</v>
      </c>
      <c r="U332" s="2" t="s">
        <v>56</v>
      </c>
      <c r="V332" s="2" t="s">
        <v>57</v>
      </c>
      <c r="W332" s="2" t="s">
        <v>58</v>
      </c>
      <c r="X332" s="2" t="s">
        <v>59</v>
      </c>
      <c r="Y332" s="1">
        <v>81.97</v>
      </c>
      <c r="Z332" s="1">
        <v>81.97</v>
      </c>
      <c r="AA332" s="1">
        <v>36.99</v>
      </c>
      <c r="AB332" s="1">
        <v>4.0999999999999996</v>
      </c>
      <c r="AC332" s="1">
        <v>5</v>
      </c>
      <c r="AD332" s="1">
        <v>15.72667</v>
      </c>
      <c r="AE332" s="1">
        <v>128.06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30</v>
      </c>
      <c r="AN332" s="1">
        <v>4.2</v>
      </c>
      <c r="AO332" s="1">
        <v>0</v>
      </c>
      <c r="AP332" s="1">
        <v>0</v>
      </c>
      <c r="AQ332" s="1">
        <v>71.903509999999997</v>
      </c>
      <c r="AR332" s="1">
        <v>71.903509999999997</v>
      </c>
      <c r="AS332" s="1">
        <v>17.97588</v>
      </c>
      <c r="AT332" s="1">
        <v>2.5166232000000002</v>
      </c>
      <c r="AU332" s="1">
        <v>0</v>
      </c>
      <c r="AV332" s="2" t="s">
        <v>69</v>
      </c>
      <c r="AW332" s="1">
        <v>27.277000000000001</v>
      </c>
      <c r="AX332" s="1">
        <f>Table1[[#This Row],[Original Commissionable GMV]]-Table1[[#This Row],[Commission ]]-Table1[[#This Row],[Commission VAT]]-Table1[[#This Row],[FreeDeliveryFund]]</f>
        <v>51.411006799999996</v>
      </c>
      <c r="AY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M332" s="2"/>
    </row>
    <row r="333" spans="12:65" x14ac:dyDescent="0.25">
      <c r="L333" s="2">
        <v>504016</v>
      </c>
      <c r="M333" s="2" t="s">
        <v>52</v>
      </c>
      <c r="N333" s="2">
        <v>505837</v>
      </c>
      <c r="O333" t="s">
        <v>53</v>
      </c>
      <c r="P333">
        <v>3397216196</v>
      </c>
      <c r="Q333" s="5">
        <v>46035.590358796297</v>
      </c>
      <c r="R333" s="2" t="s">
        <v>54</v>
      </c>
      <c r="S333" s="2" t="s">
        <v>51</v>
      </c>
      <c r="T333" s="2" t="s">
        <v>55</v>
      </c>
      <c r="U333" s="2" t="s">
        <v>56</v>
      </c>
      <c r="V333" s="2" t="s">
        <v>57</v>
      </c>
      <c r="W333" s="2" t="s">
        <v>58</v>
      </c>
      <c r="X333" s="2" t="s">
        <v>59</v>
      </c>
      <c r="Y333" s="1">
        <v>429.99</v>
      </c>
      <c r="Z333" s="1">
        <v>429.99</v>
      </c>
      <c r="AA333" s="1">
        <v>31.99</v>
      </c>
      <c r="AB333" s="1">
        <v>21.5</v>
      </c>
      <c r="AC333" s="1">
        <v>0</v>
      </c>
      <c r="AD333" s="1">
        <v>59.374740000000003</v>
      </c>
      <c r="AE333" s="1">
        <v>483.48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7.5248249999999999</v>
      </c>
      <c r="AP333" s="1">
        <v>1.0534755</v>
      </c>
      <c r="AQ333" s="1">
        <v>377.18421000000001</v>
      </c>
      <c r="AR333" s="1">
        <v>377.18421000000001</v>
      </c>
      <c r="AS333" s="1">
        <v>94.296049999999994</v>
      </c>
      <c r="AT333" s="1">
        <v>13.201447</v>
      </c>
      <c r="AU333" s="1">
        <v>0</v>
      </c>
      <c r="AV333" s="2" t="s">
        <v>69</v>
      </c>
      <c r="AW333" s="1">
        <v>313.91399999999999</v>
      </c>
      <c r="AX333" s="1">
        <f>Table1[[#This Row],[Original Commissionable GMV]]-Table1[[#This Row],[Commission ]]-Table1[[#This Row],[Commission VAT]]-Table1[[#This Row],[FreeDeliveryFund]]</f>
        <v>269.68671300000005</v>
      </c>
      <c r="AY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M333" s="2"/>
    </row>
    <row r="334" spans="12:65" x14ac:dyDescent="0.25">
      <c r="L334" s="2">
        <v>504016</v>
      </c>
      <c r="M334" s="2" t="s">
        <v>52</v>
      </c>
      <c r="N334" s="2">
        <v>505839</v>
      </c>
      <c r="O334" t="s">
        <v>53</v>
      </c>
      <c r="P334">
        <v>3397273876</v>
      </c>
      <c r="Q334" s="5">
        <v>46035.613981481481</v>
      </c>
      <c r="R334" s="2" t="s">
        <v>54</v>
      </c>
      <c r="S334" s="2" t="s">
        <v>51</v>
      </c>
      <c r="T334" s="2" t="s">
        <v>55</v>
      </c>
      <c r="U334" s="2" t="s">
        <v>56</v>
      </c>
      <c r="V334" s="2" t="s">
        <v>57</v>
      </c>
      <c r="W334" s="2" t="s">
        <v>58</v>
      </c>
      <c r="X334" s="2" t="s">
        <v>59</v>
      </c>
      <c r="Y334" s="1">
        <v>885.96</v>
      </c>
      <c r="Z334" s="1">
        <v>885.96</v>
      </c>
      <c r="AA334" s="1">
        <v>32.99</v>
      </c>
      <c r="AB334" s="1">
        <v>29.99</v>
      </c>
      <c r="AC334" s="1">
        <v>0</v>
      </c>
      <c r="AD334" s="1">
        <v>116.53649</v>
      </c>
      <c r="AE334" s="1">
        <v>948.94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15.504300000000001</v>
      </c>
      <c r="AP334" s="1">
        <v>2.1706020000000001</v>
      </c>
      <c r="AQ334" s="1">
        <v>777.15788999999995</v>
      </c>
      <c r="AR334" s="1">
        <v>777.15788999999995</v>
      </c>
      <c r="AS334" s="1">
        <v>194.28946999999999</v>
      </c>
      <c r="AT334" s="1">
        <v>27.200525800000001</v>
      </c>
      <c r="AU334" s="1">
        <v>0</v>
      </c>
      <c r="AV334" s="2" t="s">
        <v>69</v>
      </c>
      <c r="AW334" s="1">
        <v>646.79499999999996</v>
      </c>
      <c r="AX334" s="1">
        <f>Table1[[#This Row],[Original Commissionable GMV]]-Table1[[#This Row],[Commission ]]-Table1[[#This Row],[Commission VAT]]-Table1[[#This Row],[FreeDeliveryFund]]</f>
        <v>555.66789419999998</v>
      </c>
      <c r="AY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M334" s="2"/>
    </row>
    <row r="335" spans="12:65" x14ac:dyDescent="0.25">
      <c r="L335" s="2">
        <v>504016</v>
      </c>
      <c r="M335" s="2" t="s">
        <v>52</v>
      </c>
      <c r="N335" s="2">
        <v>505835</v>
      </c>
      <c r="O335" t="s">
        <v>63</v>
      </c>
      <c r="P335">
        <v>3397352746</v>
      </c>
      <c r="Q335" s="5">
        <v>46035.645451388889</v>
      </c>
      <c r="R335" s="2" t="s">
        <v>54</v>
      </c>
      <c r="S335" s="2" t="s">
        <v>51</v>
      </c>
      <c r="T335" s="2" t="s">
        <v>55</v>
      </c>
      <c r="U335" s="2" t="s">
        <v>59</v>
      </c>
      <c r="V335" s="2" t="s">
        <v>57</v>
      </c>
      <c r="W335" s="2" t="s">
        <v>58</v>
      </c>
      <c r="X335" s="2" t="s">
        <v>59</v>
      </c>
      <c r="Y335" s="1">
        <v>636.98</v>
      </c>
      <c r="Z335" s="1">
        <v>636.98</v>
      </c>
      <c r="AA335" s="1">
        <v>26.99</v>
      </c>
      <c r="AB335" s="1">
        <v>29.99</v>
      </c>
      <c r="AC335" s="1">
        <v>0</v>
      </c>
      <c r="AD335" s="1">
        <v>85.223159999999993</v>
      </c>
      <c r="AE335" s="1">
        <v>693.96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11.14715</v>
      </c>
      <c r="AP335" s="1">
        <v>1.5606009999999999</v>
      </c>
      <c r="AQ335" s="1">
        <v>558.75438999999994</v>
      </c>
      <c r="AR335" s="1">
        <v>558.75438999999994</v>
      </c>
      <c r="AS335" s="1">
        <v>139.68860000000001</v>
      </c>
      <c r="AT335" s="1">
        <v>19.556404000000001</v>
      </c>
      <c r="AU335" s="1">
        <v>0</v>
      </c>
      <c r="AV335" s="2" t="s">
        <v>69</v>
      </c>
      <c r="AW335" s="1">
        <v>465.02699999999999</v>
      </c>
      <c r="AX335" s="1">
        <f>Table1[[#This Row],[Original Commissionable GMV]]-Table1[[#This Row],[Commission ]]-Table1[[#This Row],[Commission VAT]]-Table1[[#This Row],[FreeDeliveryFund]]</f>
        <v>399.50938599999995</v>
      </c>
      <c r="AY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M335" s="2"/>
    </row>
    <row r="336" spans="12:65" x14ac:dyDescent="0.25">
      <c r="L336" s="2">
        <v>504016</v>
      </c>
      <c r="M336" s="2" t="s">
        <v>52</v>
      </c>
      <c r="N336" s="2">
        <v>505839</v>
      </c>
      <c r="O336" t="s">
        <v>53</v>
      </c>
      <c r="P336">
        <v>3397457050</v>
      </c>
      <c r="Q336" s="5">
        <v>46035.684537037036</v>
      </c>
      <c r="R336" s="2" t="s">
        <v>54</v>
      </c>
      <c r="S336" s="2" t="s">
        <v>51</v>
      </c>
      <c r="T336" s="2" t="s">
        <v>55</v>
      </c>
      <c r="U336" s="2" t="s">
        <v>56</v>
      </c>
      <c r="V336" s="2" t="s">
        <v>57</v>
      </c>
      <c r="W336" s="2" t="s">
        <v>58</v>
      </c>
      <c r="X336" s="2" t="s">
        <v>59</v>
      </c>
      <c r="Y336" s="1">
        <v>849.96</v>
      </c>
      <c r="Z336" s="1">
        <v>849.96</v>
      </c>
      <c r="AA336" s="1">
        <v>0</v>
      </c>
      <c r="AB336" s="1">
        <v>29.99</v>
      </c>
      <c r="AC336" s="1">
        <v>0</v>
      </c>
      <c r="AD336" s="1">
        <v>108.06404000000001</v>
      </c>
      <c r="AE336" s="1">
        <v>879.95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14.8743</v>
      </c>
      <c r="AP336" s="1">
        <v>2.0824020000000001</v>
      </c>
      <c r="AQ336" s="1">
        <v>745.57894999999996</v>
      </c>
      <c r="AR336" s="1">
        <v>745.57894999999996</v>
      </c>
      <c r="AS336" s="1">
        <v>186.39474000000001</v>
      </c>
      <c r="AT336" s="1">
        <v>26.095263599999999</v>
      </c>
      <c r="AU336" s="1">
        <v>35.99</v>
      </c>
      <c r="AV336" s="2" t="s">
        <v>60</v>
      </c>
      <c r="AW336" s="1">
        <v>584.52300000000002</v>
      </c>
      <c r="AX336" s="1">
        <f>Table1[[#This Row],[Original Commissionable GMV]]-Table1[[#This Row],[Commission ]]-Table1[[#This Row],[Commission VAT]]-Table1[[#This Row],[FreeDeliveryFund]]</f>
        <v>497.09894639999993</v>
      </c>
      <c r="AY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M336" s="2"/>
    </row>
    <row r="337" spans="12:65" x14ac:dyDescent="0.25">
      <c r="L337" s="2">
        <v>504016</v>
      </c>
      <c r="M337" s="2" t="s">
        <v>52</v>
      </c>
      <c r="N337" s="2">
        <v>505839</v>
      </c>
      <c r="O337" t="s">
        <v>63</v>
      </c>
      <c r="P337">
        <v>3397488181</v>
      </c>
      <c r="Q337" s="5">
        <v>46035.6950462963</v>
      </c>
      <c r="R337" s="2" t="s">
        <v>54</v>
      </c>
      <c r="S337" s="2" t="s">
        <v>51</v>
      </c>
      <c r="T337" s="2" t="s">
        <v>55</v>
      </c>
      <c r="U337" s="2" t="s">
        <v>59</v>
      </c>
      <c r="V337" s="2" t="s">
        <v>57</v>
      </c>
      <c r="W337" s="2" t="s">
        <v>58</v>
      </c>
      <c r="X337" s="2" t="s">
        <v>59</v>
      </c>
      <c r="Y337" s="1">
        <v>271.58</v>
      </c>
      <c r="Z337" s="1">
        <v>271.58</v>
      </c>
      <c r="AA337" s="1">
        <v>0</v>
      </c>
      <c r="AB337" s="1">
        <v>13.58</v>
      </c>
      <c r="AC337" s="1">
        <v>0</v>
      </c>
      <c r="AD337" s="1">
        <v>35.019649999999999</v>
      </c>
      <c r="AE337" s="1">
        <v>285.16000000000003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4.75265</v>
      </c>
      <c r="AP337" s="1">
        <v>0.66537100000000005</v>
      </c>
      <c r="AQ337" s="1">
        <v>238.22807</v>
      </c>
      <c r="AR337" s="1">
        <v>238.22807</v>
      </c>
      <c r="AS337" s="1">
        <v>59.557020000000001</v>
      </c>
      <c r="AT337" s="1">
        <v>8.3379828000000007</v>
      </c>
      <c r="AU337" s="1">
        <v>28.99</v>
      </c>
      <c r="AV337" s="2" t="s">
        <v>60</v>
      </c>
      <c r="AW337" s="1">
        <v>169.27699999999999</v>
      </c>
      <c r="AX337" s="1">
        <f>Table1[[#This Row],[Original Commissionable GMV]]-Table1[[#This Row],[Commission ]]-Table1[[#This Row],[Commission VAT]]-Table1[[#This Row],[FreeDeliveryFund]]</f>
        <v>141.34306720000001</v>
      </c>
      <c r="AY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M337" s="2"/>
    </row>
    <row r="338" spans="12:65" x14ac:dyDescent="0.25">
      <c r="L338" s="2">
        <v>504016</v>
      </c>
      <c r="M338" s="2" t="s">
        <v>52</v>
      </c>
      <c r="N338" s="2">
        <v>505839</v>
      </c>
      <c r="O338" t="s">
        <v>53</v>
      </c>
      <c r="P338">
        <v>3397563222</v>
      </c>
      <c r="Q338" s="5">
        <v>46035.719178240739</v>
      </c>
      <c r="R338" s="2" t="s">
        <v>54</v>
      </c>
      <c r="S338" s="2" t="s">
        <v>51</v>
      </c>
      <c r="T338" s="2" t="s">
        <v>55</v>
      </c>
      <c r="U338" s="2" t="s">
        <v>59</v>
      </c>
      <c r="V338" s="2" t="s">
        <v>57</v>
      </c>
      <c r="W338" s="2" t="s">
        <v>58</v>
      </c>
      <c r="X338" s="2" t="s">
        <v>59</v>
      </c>
      <c r="Y338" s="1">
        <v>1183.97</v>
      </c>
      <c r="Z338" s="1">
        <v>1183.97</v>
      </c>
      <c r="AA338" s="1">
        <v>39.99</v>
      </c>
      <c r="AB338" s="1">
        <v>29.99</v>
      </c>
      <c r="AC338" s="1">
        <v>0</v>
      </c>
      <c r="AD338" s="1">
        <v>153.99386000000001</v>
      </c>
      <c r="AE338" s="1">
        <v>1253.95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20.719474999999999</v>
      </c>
      <c r="AP338" s="1">
        <v>2.9007265000000002</v>
      </c>
      <c r="AQ338" s="1">
        <v>1038.5701799999999</v>
      </c>
      <c r="AR338" s="1">
        <v>1038.5701799999999</v>
      </c>
      <c r="AS338" s="1">
        <v>259.64255000000003</v>
      </c>
      <c r="AT338" s="1">
        <v>36.349957000000003</v>
      </c>
      <c r="AU338" s="1">
        <v>0</v>
      </c>
      <c r="AV338" s="2" t="s">
        <v>69</v>
      </c>
      <c r="AW338" s="1">
        <v>864.35699999999997</v>
      </c>
      <c r="AX338" s="1">
        <f>Table1[[#This Row],[Original Commissionable GMV]]-Table1[[#This Row],[Commission ]]-Table1[[#This Row],[Commission VAT]]-Table1[[#This Row],[FreeDeliveryFund]]</f>
        <v>742.57767299999989</v>
      </c>
      <c r="AY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M338" s="2"/>
    </row>
    <row r="339" spans="12:65" x14ac:dyDescent="0.25">
      <c r="L339" s="2">
        <v>504016</v>
      </c>
      <c r="M339" s="2" t="s">
        <v>52</v>
      </c>
      <c r="N339" s="2">
        <v>505837</v>
      </c>
      <c r="O339" t="s">
        <v>63</v>
      </c>
      <c r="P339">
        <v>3397598442</v>
      </c>
      <c r="Q339" s="5">
        <v>46035.730034722219</v>
      </c>
      <c r="R339" s="2" t="s">
        <v>54</v>
      </c>
      <c r="S339" s="2" t="s">
        <v>51</v>
      </c>
      <c r="T339" s="2" t="s">
        <v>55</v>
      </c>
      <c r="U339" s="2" t="s">
        <v>56</v>
      </c>
      <c r="V339" s="2" t="s">
        <v>57</v>
      </c>
      <c r="W339" s="2" t="s">
        <v>58</v>
      </c>
      <c r="X339" s="2" t="s">
        <v>59</v>
      </c>
      <c r="Y339" s="1">
        <v>1347.96</v>
      </c>
      <c r="Z339" s="1">
        <v>1347.96</v>
      </c>
      <c r="AA339" s="1">
        <v>29.99</v>
      </c>
      <c r="AB339" s="1">
        <v>29.99</v>
      </c>
      <c r="AC339" s="1">
        <v>0</v>
      </c>
      <c r="AD339" s="1">
        <v>172.90491</v>
      </c>
      <c r="AE339" s="1">
        <v>1407.94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23.589298249999999</v>
      </c>
      <c r="AP339" s="1">
        <v>3.3025017550000002</v>
      </c>
      <c r="AQ339" s="1">
        <v>1182.4210499999999</v>
      </c>
      <c r="AR339" s="1">
        <v>1182.4210499999999</v>
      </c>
      <c r="AS339" s="1">
        <v>295.60525999999999</v>
      </c>
      <c r="AT339" s="1">
        <v>41.384736400000001</v>
      </c>
      <c r="AU339" s="1">
        <v>0</v>
      </c>
      <c r="AV339" s="2" t="s">
        <v>69</v>
      </c>
      <c r="AW339" s="1">
        <v>984.07799999999997</v>
      </c>
      <c r="AX339" s="1">
        <f>Table1[[#This Row],[Original Commissionable GMV]]-Table1[[#This Row],[Commission ]]-Table1[[#This Row],[Commission VAT]]-Table1[[#This Row],[FreeDeliveryFund]]</f>
        <v>845.43105359999993</v>
      </c>
      <c r="AY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M339" s="2"/>
    </row>
    <row r="340" spans="12:65" x14ac:dyDescent="0.25">
      <c r="L340" s="2">
        <v>504016</v>
      </c>
      <c r="M340" s="2" t="s">
        <v>52</v>
      </c>
      <c r="N340" s="2">
        <v>505839</v>
      </c>
      <c r="O340" t="s">
        <v>63</v>
      </c>
      <c r="P340">
        <v>3397621381</v>
      </c>
      <c r="Q340" s="5">
        <v>46035.73715277778</v>
      </c>
      <c r="R340" s="2" t="s">
        <v>54</v>
      </c>
      <c r="S340" s="2" t="s">
        <v>51</v>
      </c>
      <c r="T340" s="2" t="s">
        <v>55</v>
      </c>
      <c r="U340" s="2" t="s">
        <v>56</v>
      </c>
      <c r="V340" s="2" t="s">
        <v>57</v>
      </c>
      <c r="W340" s="2" t="s">
        <v>58</v>
      </c>
      <c r="X340" s="2" t="s">
        <v>59</v>
      </c>
      <c r="Y340" s="1">
        <v>319.99</v>
      </c>
      <c r="Z340" s="1">
        <v>319.99</v>
      </c>
      <c r="AA340" s="1">
        <v>26.99</v>
      </c>
      <c r="AB340" s="1">
        <v>16</v>
      </c>
      <c r="AC340" s="1">
        <v>0</v>
      </c>
      <c r="AD340" s="1">
        <v>44.57649</v>
      </c>
      <c r="AE340" s="1">
        <v>362.98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5.5998250000000001</v>
      </c>
      <c r="AP340" s="1">
        <v>0.78397550000000005</v>
      </c>
      <c r="AQ340" s="1">
        <v>280.69297999999998</v>
      </c>
      <c r="AR340" s="1">
        <v>280.69297999999998</v>
      </c>
      <c r="AS340" s="1">
        <v>70.173249999999996</v>
      </c>
      <c r="AT340" s="1">
        <v>9.8242550000000008</v>
      </c>
      <c r="AU340" s="1">
        <v>0</v>
      </c>
      <c r="AV340" s="2" t="s">
        <v>69</v>
      </c>
      <c r="AW340" s="1">
        <v>233.60900000000001</v>
      </c>
      <c r="AX340" s="1">
        <f>Table1[[#This Row],[Original Commissionable GMV]]-Table1[[#This Row],[Commission ]]-Table1[[#This Row],[Commission VAT]]-Table1[[#This Row],[FreeDeliveryFund]]</f>
        <v>200.69547499999999</v>
      </c>
      <c r="AY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M340" s="2"/>
    </row>
    <row r="341" spans="12:65" x14ac:dyDescent="0.25">
      <c r="L341" s="2">
        <v>504016</v>
      </c>
      <c r="M341" s="2" t="s">
        <v>52</v>
      </c>
      <c r="N341" s="2">
        <v>505839</v>
      </c>
      <c r="O341" t="s">
        <v>63</v>
      </c>
      <c r="P341">
        <v>3397629800</v>
      </c>
      <c r="Q341" s="5">
        <v>46035.739791666667</v>
      </c>
      <c r="R341" s="2" t="s">
        <v>54</v>
      </c>
      <c r="S341" s="2" t="s">
        <v>51</v>
      </c>
      <c r="T341" s="2" t="s">
        <v>55</v>
      </c>
      <c r="U341" s="2" t="s">
        <v>56</v>
      </c>
      <c r="V341" s="2" t="s">
        <v>57</v>
      </c>
      <c r="W341" s="2" t="s">
        <v>58</v>
      </c>
      <c r="X341" s="2" t="s">
        <v>59</v>
      </c>
      <c r="Y341" s="1">
        <v>453.99</v>
      </c>
      <c r="Z341" s="1">
        <v>489.99</v>
      </c>
      <c r="AA341" s="1">
        <v>0</v>
      </c>
      <c r="AB341" s="1">
        <v>24.5</v>
      </c>
      <c r="AC341" s="1">
        <v>0</v>
      </c>
      <c r="AD341" s="1">
        <v>63.182980000000001</v>
      </c>
      <c r="AE341" s="1">
        <v>478.49</v>
      </c>
      <c r="AG341" s="1">
        <v>0</v>
      </c>
      <c r="AH341" s="1">
        <v>36</v>
      </c>
      <c r="AI341" s="1">
        <v>132.24</v>
      </c>
      <c r="AJ341" s="1">
        <v>0</v>
      </c>
      <c r="AK341" s="1">
        <v>132.24</v>
      </c>
      <c r="AL341" s="1">
        <v>0</v>
      </c>
      <c r="AM341" s="1">
        <v>0</v>
      </c>
      <c r="AN341" s="1">
        <v>0</v>
      </c>
      <c r="AO341" s="1">
        <v>7.9448249999999998</v>
      </c>
      <c r="AP341" s="1">
        <v>1.1122755</v>
      </c>
      <c r="AQ341" s="1">
        <v>398.23683999999997</v>
      </c>
      <c r="AR341" s="1">
        <v>398.23683999999997</v>
      </c>
      <c r="AS341" s="1">
        <v>99.559209999999993</v>
      </c>
      <c r="AT341" s="1">
        <v>13.9382894</v>
      </c>
      <c r="AU341" s="1">
        <v>29.99</v>
      </c>
      <c r="AV341" s="2" t="s">
        <v>60</v>
      </c>
      <c r="AW341" s="1">
        <v>301.44499999999999</v>
      </c>
      <c r="AX341" s="1">
        <f>Table1[[#This Row],[Original Commissionable GMV]]-Table1[[#This Row],[Commission ]]-Table1[[#This Row],[Commission VAT]]-Table1[[#This Row],[FreeDeliveryFund]]</f>
        <v>254.74934059999998</v>
      </c>
      <c r="AY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M341" s="2"/>
    </row>
    <row r="342" spans="12:65" x14ac:dyDescent="0.25">
      <c r="L342" s="2">
        <v>504016</v>
      </c>
      <c r="M342" s="2" t="s">
        <v>52</v>
      </c>
      <c r="N342" s="2">
        <v>505837</v>
      </c>
      <c r="O342" t="s">
        <v>65</v>
      </c>
      <c r="P342">
        <v>3397644319</v>
      </c>
      <c r="Q342" s="5">
        <v>46035.744189814817</v>
      </c>
      <c r="R342" s="2" t="s">
        <v>62</v>
      </c>
      <c r="S342" s="2" t="s">
        <v>51</v>
      </c>
      <c r="T342" s="2" t="s">
        <v>55</v>
      </c>
      <c r="U342" s="2" t="s">
        <v>59</v>
      </c>
      <c r="V342" s="2" t="s">
        <v>57</v>
      </c>
      <c r="W342" s="2" t="s">
        <v>58</v>
      </c>
      <c r="X342" s="2" t="s">
        <v>59</v>
      </c>
      <c r="Y342" s="1">
        <v>412.29</v>
      </c>
      <c r="Z342" s="1">
        <v>412.29</v>
      </c>
      <c r="AA342" s="1">
        <v>36.99</v>
      </c>
      <c r="AB342" s="1">
        <v>20.61</v>
      </c>
      <c r="AC342" s="1">
        <v>0</v>
      </c>
      <c r="AD342" s="1">
        <v>57.70579</v>
      </c>
      <c r="AE342" s="1">
        <v>469.89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361.65789000000001</v>
      </c>
      <c r="AR342" s="1">
        <v>361.65789000000001</v>
      </c>
      <c r="AS342" s="1">
        <v>90.414469999999994</v>
      </c>
      <c r="AT342" s="1">
        <v>12.658025800000001</v>
      </c>
      <c r="AU342" s="1">
        <v>0</v>
      </c>
      <c r="AV342" s="2" t="s">
        <v>69</v>
      </c>
      <c r="AW342" s="1">
        <v>309.21800000000002</v>
      </c>
      <c r="AX342" s="1">
        <f>Table1[[#This Row],[Original Commissionable GMV]]-Table1[[#This Row],[Commission ]]-Table1[[#This Row],[Commission VAT]]-Table1[[#This Row],[FreeDeliveryFund]]</f>
        <v>258.5853942</v>
      </c>
      <c r="AY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M342" s="2"/>
    </row>
    <row r="343" spans="12:65" x14ac:dyDescent="0.25">
      <c r="L343" s="2">
        <v>504016</v>
      </c>
      <c r="M343" s="2" t="s">
        <v>52</v>
      </c>
      <c r="N343" s="2">
        <v>505837</v>
      </c>
      <c r="O343" t="s">
        <v>63</v>
      </c>
      <c r="P343">
        <v>3397649097</v>
      </c>
      <c r="Q343" s="5">
        <v>46035.745625000003</v>
      </c>
      <c r="R343" s="2" t="s">
        <v>54</v>
      </c>
      <c r="S343" s="2" t="s">
        <v>51</v>
      </c>
      <c r="T343" s="2" t="s">
        <v>55</v>
      </c>
      <c r="U343" s="2" t="s">
        <v>56</v>
      </c>
      <c r="V343" s="2" t="s">
        <v>57</v>
      </c>
      <c r="W343" s="2" t="s">
        <v>58</v>
      </c>
      <c r="X343" s="2" t="s">
        <v>59</v>
      </c>
      <c r="Y343" s="1">
        <v>431.72</v>
      </c>
      <c r="Z343" s="1">
        <v>431.72</v>
      </c>
      <c r="AA343" s="1">
        <v>29.99</v>
      </c>
      <c r="AB343" s="1">
        <v>21.59</v>
      </c>
      <c r="AC343" s="1">
        <v>0</v>
      </c>
      <c r="AD343" s="1">
        <v>59.352629999999998</v>
      </c>
      <c r="AE343" s="1">
        <v>483.3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7.5551000000000004</v>
      </c>
      <c r="AP343" s="1">
        <v>1.057714</v>
      </c>
      <c r="AQ343" s="1">
        <v>378.70175</v>
      </c>
      <c r="AR343" s="1">
        <v>378.70175</v>
      </c>
      <c r="AS343" s="1">
        <v>94.675439999999995</v>
      </c>
      <c r="AT343" s="1">
        <v>13.254561600000001</v>
      </c>
      <c r="AU343" s="1">
        <v>0</v>
      </c>
      <c r="AV343" s="2" t="s">
        <v>69</v>
      </c>
      <c r="AW343" s="1">
        <v>315.17700000000002</v>
      </c>
      <c r="AX343" s="1">
        <f>Table1[[#This Row],[Original Commissionable GMV]]-Table1[[#This Row],[Commission ]]-Table1[[#This Row],[Commission VAT]]-Table1[[#This Row],[FreeDeliveryFund]]</f>
        <v>270.77174840000004</v>
      </c>
      <c r="AY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M343" s="2"/>
    </row>
    <row r="344" spans="12:65" x14ac:dyDescent="0.25">
      <c r="L344" s="2">
        <v>504016</v>
      </c>
      <c r="M344" s="2" t="s">
        <v>52</v>
      </c>
      <c r="N344" s="2">
        <v>505839</v>
      </c>
      <c r="O344" t="s">
        <v>63</v>
      </c>
      <c r="P344">
        <v>3397716747</v>
      </c>
      <c r="Q344" s="5">
        <v>46035.765567129631</v>
      </c>
      <c r="R344" s="2" t="s">
        <v>54</v>
      </c>
      <c r="S344" s="2" t="s">
        <v>61</v>
      </c>
      <c r="T344" s="2" t="s">
        <v>55</v>
      </c>
      <c r="U344" s="2" t="s">
        <v>59</v>
      </c>
      <c r="V344" s="2" t="s">
        <v>57</v>
      </c>
      <c r="W344" s="2" t="s">
        <v>58</v>
      </c>
      <c r="X344" s="2" t="s">
        <v>59</v>
      </c>
      <c r="Y344" s="1">
        <v>583.98</v>
      </c>
      <c r="Z344" s="1">
        <v>583.98</v>
      </c>
      <c r="AA344" s="1">
        <v>29.99</v>
      </c>
      <c r="AB344" s="1">
        <v>29.2</v>
      </c>
      <c r="AC344" s="1">
        <v>0</v>
      </c>
      <c r="AD344" s="1">
        <v>78.985789999999994</v>
      </c>
      <c r="AE344" s="1">
        <v>643.16999999999996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40.049999999999997</v>
      </c>
      <c r="AM344" s="1">
        <v>0</v>
      </c>
      <c r="AN344" s="1">
        <v>0</v>
      </c>
      <c r="AO344" s="1">
        <v>0</v>
      </c>
      <c r="AP344" s="1">
        <v>0</v>
      </c>
      <c r="AQ344" s="1">
        <v>512.26315999999997</v>
      </c>
      <c r="AR344" s="1">
        <v>512.26315999999997</v>
      </c>
      <c r="AS344" s="1">
        <v>128.06578999999999</v>
      </c>
      <c r="AT344" s="1">
        <v>17.929210600000001</v>
      </c>
      <c r="AU344" s="1">
        <v>0</v>
      </c>
      <c r="AV344" s="2" t="s">
        <v>69</v>
      </c>
      <c r="AW344" s="1">
        <v>-145.995</v>
      </c>
      <c r="AX344" s="1">
        <f>Table1[[#This Row],[Original Commissionable GMV]]-Table1[[#This Row],[Commission ]]-Table1[[#This Row],[Commission VAT]]-Table1[[#This Row],[FreeDeliveryFund]]</f>
        <v>366.2681594</v>
      </c>
      <c r="AY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M344" s="2"/>
    </row>
    <row r="345" spans="12:65" x14ac:dyDescent="0.25">
      <c r="L345" s="2">
        <v>504016</v>
      </c>
      <c r="M345" s="2" t="s">
        <v>52</v>
      </c>
      <c r="N345" s="2">
        <v>505837</v>
      </c>
      <c r="O345" t="s">
        <v>65</v>
      </c>
      <c r="P345">
        <v>3397725112</v>
      </c>
      <c r="Q345" s="5">
        <v>46035.768043981479</v>
      </c>
      <c r="R345" s="2" t="s">
        <v>54</v>
      </c>
      <c r="S345" s="2" t="s">
        <v>51</v>
      </c>
      <c r="T345" s="2" t="s">
        <v>55</v>
      </c>
      <c r="U345" s="2" t="s">
        <v>56</v>
      </c>
      <c r="V345" s="2" t="s">
        <v>57</v>
      </c>
      <c r="W345" s="2" t="s">
        <v>58</v>
      </c>
      <c r="X345" s="2" t="s">
        <v>59</v>
      </c>
      <c r="Y345" s="1">
        <v>265</v>
      </c>
      <c r="Z345" s="1">
        <v>265</v>
      </c>
      <c r="AA345" s="1">
        <v>29.99</v>
      </c>
      <c r="AB345" s="1">
        <v>13.25</v>
      </c>
      <c r="AC345" s="1">
        <v>0</v>
      </c>
      <c r="AD345" s="1">
        <v>37.854039999999998</v>
      </c>
      <c r="AE345" s="1">
        <v>308.24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4.6375000000000002</v>
      </c>
      <c r="AP345" s="1">
        <v>0.64924999999999999</v>
      </c>
      <c r="AQ345" s="1">
        <v>232.45614</v>
      </c>
      <c r="AR345" s="1">
        <v>232.45614</v>
      </c>
      <c r="AS345" s="1">
        <v>58.114040000000003</v>
      </c>
      <c r="AT345" s="1">
        <v>8.1359656000000005</v>
      </c>
      <c r="AU345" s="1">
        <v>0</v>
      </c>
      <c r="AV345" s="2" t="s">
        <v>69</v>
      </c>
      <c r="AW345" s="1">
        <v>193.46299999999999</v>
      </c>
      <c r="AX345" s="1">
        <f>Table1[[#This Row],[Original Commissionable GMV]]-Table1[[#This Row],[Commission ]]-Table1[[#This Row],[Commission VAT]]-Table1[[#This Row],[FreeDeliveryFund]]</f>
        <v>166.20613440000002</v>
      </c>
      <c r="AY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M345" s="2"/>
    </row>
    <row r="346" spans="12:65" x14ac:dyDescent="0.25">
      <c r="L346" s="2">
        <v>504016</v>
      </c>
      <c r="M346" s="2" t="s">
        <v>52</v>
      </c>
      <c r="N346" s="2">
        <v>505837</v>
      </c>
      <c r="O346" t="s">
        <v>53</v>
      </c>
      <c r="P346">
        <v>3397770435</v>
      </c>
      <c r="Q346" s="5">
        <v>46035.781481481485</v>
      </c>
      <c r="R346" s="2" t="s">
        <v>54</v>
      </c>
      <c r="S346" s="2" t="s">
        <v>51</v>
      </c>
      <c r="T346" s="2" t="s">
        <v>55</v>
      </c>
      <c r="U346" s="2" t="s">
        <v>56</v>
      </c>
      <c r="V346" s="2" t="s">
        <v>57</v>
      </c>
      <c r="W346" s="2" t="s">
        <v>58</v>
      </c>
      <c r="X346" s="2" t="s">
        <v>59</v>
      </c>
      <c r="Y346" s="1">
        <v>690.14</v>
      </c>
      <c r="Z346" s="1">
        <v>690.14</v>
      </c>
      <c r="AA346" s="1">
        <v>0</v>
      </c>
      <c r="AB346" s="1">
        <v>29.99</v>
      </c>
      <c r="AC346" s="1">
        <v>0</v>
      </c>
      <c r="AD346" s="1">
        <v>88.437020000000004</v>
      </c>
      <c r="AE346" s="1">
        <v>720.13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12.077450000000001</v>
      </c>
      <c r="AP346" s="1">
        <v>1.6908430000000001</v>
      </c>
      <c r="AQ346" s="1">
        <v>605.38595999999995</v>
      </c>
      <c r="AR346" s="1">
        <v>605.38595999999995</v>
      </c>
      <c r="AS346" s="1">
        <v>151.34648999999999</v>
      </c>
      <c r="AT346" s="1">
        <v>21.188508599999999</v>
      </c>
      <c r="AU346" s="1">
        <v>30.99</v>
      </c>
      <c r="AV346" s="2" t="s">
        <v>60</v>
      </c>
      <c r="AW346" s="1">
        <v>472.84699999999998</v>
      </c>
      <c r="AX346" s="1">
        <f>Table1[[#This Row],[Original Commissionable GMV]]-Table1[[#This Row],[Commission ]]-Table1[[#This Row],[Commission VAT]]-Table1[[#This Row],[FreeDeliveryFund]]</f>
        <v>401.86096139999995</v>
      </c>
      <c r="AY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M346" s="2"/>
    </row>
    <row r="347" spans="12:65" x14ac:dyDescent="0.25">
      <c r="L347" s="2">
        <v>504016</v>
      </c>
      <c r="M347" s="2" t="s">
        <v>52</v>
      </c>
      <c r="N347" s="2">
        <v>505837</v>
      </c>
      <c r="O347" t="s">
        <v>63</v>
      </c>
      <c r="P347">
        <v>3397799788</v>
      </c>
      <c r="Q347" s="5">
        <v>46035.790219907409</v>
      </c>
      <c r="R347" s="2" t="s">
        <v>54</v>
      </c>
      <c r="S347" s="2" t="s">
        <v>51</v>
      </c>
      <c r="T347" s="2" t="s">
        <v>55</v>
      </c>
      <c r="U347" s="2" t="s">
        <v>56</v>
      </c>
      <c r="V347" s="2" t="s">
        <v>57</v>
      </c>
      <c r="W347" s="2" t="s">
        <v>58</v>
      </c>
      <c r="X347" s="2" t="s">
        <v>59</v>
      </c>
      <c r="Y347" s="1">
        <v>1353.57</v>
      </c>
      <c r="Z347" s="1">
        <v>1353.57</v>
      </c>
      <c r="AA347" s="1">
        <v>0</v>
      </c>
      <c r="AB347" s="1">
        <v>29.99</v>
      </c>
      <c r="AC347" s="1">
        <v>0</v>
      </c>
      <c r="AD347" s="1">
        <v>169.91087999999999</v>
      </c>
      <c r="AE347" s="1">
        <v>1383.56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23.687476749999998</v>
      </c>
      <c r="AP347" s="1">
        <v>3.3162467449999999</v>
      </c>
      <c r="AQ347" s="1">
        <v>1187.34211</v>
      </c>
      <c r="AR347" s="1">
        <v>1187.34211</v>
      </c>
      <c r="AS347" s="1">
        <v>296.83553000000001</v>
      </c>
      <c r="AT347" s="1">
        <v>41.556974199999999</v>
      </c>
      <c r="AU347" s="1">
        <v>27.99</v>
      </c>
      <c r="AV347" s="2" t="s">
        <v>60</v>
      </c>
      <c r="AW347" s="1">
        <v>960.18399999999997</v>
      </c>
      <c r="AX347" s="1">
        <f>Table1[[#This Row],[Original Commissionable GMV]]-Table1[[#This Row],[Commission ]]-Table1[[#This Row],[Commission VAT]]-Table1[[#This Row],[FreeDeliveryFund]]</f>
        <v>820.95960579999996</v>
      </c>
      <c r="AY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M347" s="2"/>
    </row>
    <row r="348" spans="12:65" x14ac:dyDescent="0.25">
      <c r="L348" s="2">
        <v>504016</v>
      </c>
      <c r="M348" s="2" t="s">
        <v>52</v>
      </c>
      <c r="N348" s="2">
        <v>505839</v>
      </c>
      <c r="O348" t="s">
        <v>63</v>
      </c>
      <c r="P348">
        <v>3397858157</v>
      </c>
      <c r="Q348" s="5">
        <v>46035.807638888888</v>
      </c>
      <c r="R348" s="2" t="s">
        <v>66</v>
      </c>
      <c r="S348" s="2" t="s">
        <v>51</v>
      </c>
      <c r="T348" s="2" t="s">
        <v>55</v>
      </c>
      <c r="U348" s="2" t="s">
        <v>59</v>
      </c>
      <c r="V348" s="2" t="s">
        <v>57</v>
      </c>
      <c r="W348" s="2" t="s">
        <v>58</v>
      </c>
      <c r="X348" s="2" t="s">
        <v>59</v>
      </c>
      <c r="Y348" s="1">
        <v>979.98</v>
      </c>
      <c r="Z348" s="1">
        <v>979.98</v>
      </c>
      <c r="AA348" s="1">
        <v>7</v>
      </c>
      <c r="AB348" s="1">
        <v>29.99</v>
      </c>
      <c r="AC348" s="1">
        <v>0</v>
      </c>
      <c r="AD348" s="1">
        <v>124.89105000000001</v>
      </c>
      <c r="AE348" s="1">
        <v>1016.97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17.149650000000001</v>
      </c>
      <c r="AP348" s="1">
        <v>2.4009510000000001</v>
      </c>
      <c r="AQ348" s="1">
        <v>859.63157999999999</v>
      </c>
      <c r="AR348" s="1">
        <v>859.63157999999999</v>
      </c>
      <c r="AS348" s="1">
        <v>214.90790000000001</v>
      </c>
      <c r="AT348" s="1">
        <v>30.087105999999999</v>
      </c>
      <c r="AU348" s="1">
        <v>29.99</v>
      </c>
      <c r="AV348" s="2" t="s">
        <v>60</v>
      </c>
      <c r="AW348" s="1">
        <v>685.44399999999996</v>
      </c>
      <c r="AX348" s="1">
        <f>Table1[[#This Row],[Original Commissionable GMV]]-Table1[[#This Row],[Commission ]]-Table1[[#This Row],[Commission VAT]]-Table1[[#This Row],[FreeDeliveryFund]]</f>
        <v>584.64657399999999</v>
      </c>
      <c r="AY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M348" s="2"/>
    </row>
    <row r="349" spans="12:65" x14ac:dyDescent="0.25">
      <c r="L349" s="2">
        <v>504016</v>
      </c>
      <c r="M349" s="2" t="s">
        <v>52</v>
      </c>
      <c r="N349" s="2">
        <v>505839</v>
      </c>
      <c r="O349" t="s">
        <v>63</v>
      </c>
      <c r="P349">
        <v>3397877810</v>
      </c>
      <c r="Q349" s="5">
        <v>46035.81354166667</v>
      </c>
      <c r="R349" s="2" t="s">
        <v>54</v>
      </c>
      <c r="S349" s="2" t="s">
        <v>51</v>
      </c>
      <c r="T349" s="2" t="s">
        <v>55</v>
      </c>
      <c r="U349" s="2" t="s">
        <v>56</v>
      </c>
      <c r="V349" s="2" t="s">
        <v>57</v>
      </c>
      <c r="W349" s="2" t="s">
        <v>58</v>
      </c>
      <c r="X349" s="2" t="s">
        <v>59</v>
      </c>
      <c r="Y349" s="1">
        <v>1191.95</v>
      </c>
      <c r="Z349" s="1">
        <v>1263.95</v>
      </c>
      <c r="AA349" s="1">
        <v>0</v>
      </c>
      <c r="AB349" s="1">
        <v>29.99</v>
      </c>
      <c r="AC349" s="1">
        <v>0</v>
      </c>
      <c r="AD349" s="1">
        <v>158.90491</v>
      </c>
      <c r="AE349" s="1">
        <v>1221.94</v>
      </c>
      <c r="AG349" s="1">
        <v>0</v>
      </c>
      <c r="AH349" s="1">
        <v>72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20.85912325</v>
      </c>
      <c r="AP349" s="1">
        <v>2.9202772549999998</v>
      </c>
      <c r="AQ349" s="1">
        <v>1045.5701799999999</v>
      </c>
      <c r="AR349" s="1">
        <v>1045.5701799999999</v>
      </c>
      <c r="AS349" s="1">
        <v>261.39255000000003</v>
      </c>
      <c r="AT349" s="1">
        <v>36.594957000000001</v>
      </c>
      <c r="AU349" s="1">
        <v>26.99</v>
      </c>
      <c r="AV349" s="2" t="s">
        <v>60</v>
      </c>
      <c r="AW349" s="1">
        <v>843.19299999999998</v>
      </c>
      <c r="AX349" s="1">
        <f>Table1[[#This Row],[Original Commissionable GMV]]-Table1[[#This Row],[Commission ]]-Table1[[#This Row],[Commission VAT]]-Table1[[#This Row],[FreeDeliveryFund]]</f>
        <v>720.59267299999988</v>
      </c>
      <c r="AY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M349" s="2"/>
    </row>
    <row r="350" spans="12:65" x14ac:dyDescent="0.25">
      <c r="L350" s="2">
        <v>504016</v>
      </c>
      <c r="M350" s="2" t="s">
        <v>52</v>
      </c>
      <c r="N350" s="2">
        <v>505839</v>
      </c>
      <c r="O350" t="s">
        <v>63</v>
      </c>
      <c r="P350">
        <v>3397910542</v>
      </c>
      <c r="Q350" s="5">
        <v>46035.823634259257</v>
      </c>
      <c r="R350" s="2" t="s">
        <v>54</v>
      </c>
      <c r="S350" s="2" t="s">
        <v>51</v>
      </c>
      <c r="T350" s="2" t="s">
        <v>55</v>
      </c>
      <c r="U350" s="2" t="s">
        <v>59</v>
      </c>
      <c r="V350" s="2" t="s">
        <v>57</v>
      </c>
      <c r="W350" s="2" t="s">
        <v>58</v>
      </c>
      <c r="X350" s="2" t="s">
        <v>59</v>
      </c>
      <c r="Y350" s="1">
        <v>341.58</v>
      </c>
      <c r="Z350" s="1">
        <v>341.58</v>
      </c>
      <c r="AA350" s="1">
        <v>0</v>
      </c>
      <c r="AB350" s="1">
        <v>17.079999999999998</v>
      </c>
      <c r="AC350" s="1">
        <v>0</v>
      </c>
      <c r="AD350" s="1">
        <v>44.045960000000001</v>
      </c>
      <c r="AE350" s="1">
        <v>358.66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5.9776499999999997</v>
      </c>
      <c r="AP350" s="1">
        <v>0.83687100000000003</v>
      </c>
      <c r="AQ350" s="1">
        <v>299.63157999999999</v>
      </c>
      <c r="AR350" s="1">
        <v>299.63157999999999</v>
      </c>
      <c r="AS350" s="1">
        <v>74.907899999999998</v>
      </c>
      <c r="AT350" s="1">
        <v>10.487106000000001</v>
      </c>
      <c r="AU350" s="1">
        <v>30.99</v>
      </c>
      <c r="AV350" s="2" t="s">
        <v>60</v>
      </c>
      <c r="AW350" s="1">
        <v>218.38</v>
      </c>
      <c r="AX350" s="1">
        <f>Table1[[#This Row],[Original Commissionable GMV]]-Table1[[#This Row],[Commission ]]-Table1[[#This Row],[Commission VAT]]-Table1[[#This Row],[FreeDeliveryFund]]</f>
        <v>183.24657399999998</v>
      </c>
      <c r="AY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M350" s="2"/>
    </row>
    <row r="351" spans="12:65" x14ac:dyDescent="0.25">
      <c r="L351" s="2">
        <v>504016</v>
      </c>
      <c r="M351" s="2" t="s">
        <v>52</v>
      </c>
      <c r="N351" s="2">
        <v>505839</v>
      </c>
      <c r="O351" t="s">
        <v>63</v>
      </c>
      <c r="P351">
        <v>3397929797</v>
      </c>
      <c r="Q351" s="5">
        <v>46035.829675925925</v>
      </c>
      <c r="R351" s="2" t="s">
        <v>62</v>
      </c>
      <c r="S351" s="2" t="s">
        <v>51</v>
      </c>
      <c r="T351" s="2" t="s">
        <v>55</v>
      </c>
      <c r="U351" s="2" t="s">
        <v>56</v>
      </c>
      <c r="V351" s="2" t="s">
        <v>57</v>
      </c>
      <c r="W351" s="2" t="s">
        <v>58</v>
      </c>
      <c r="X351" s="2" t="s">
        <v>59</v>
      </c>
      <c r="Y351" s="1">
        <v>527.66</v>
      </c>
      <c r="Z351" s="1">
        <v>527.66</v>
      </c>
      <c r="AA351" s="1">
        <v>26.99</v>
      </c>
      <c r="AB351" s="1">
        <v>26.38</v>
      </c>
      <c r="AC351" s="1">
        <v>0</v>
      </c>
      <c r="AD351" s="1">
        <v>71.354560000000006</v>
      </c>
      <c r="AE351" s="1">
        <v>581.03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462.85964999999999</v>
      </c>
      <c r="AR351" s="1">
        <v>462.85964999999999</v>
      </c>
      <c r="AS351" s="1">
        <v>115.71491</v>
      </c>
      <c r="AT351" s="1">
        <v>16.200087400000001</v>
      </c>
      <c r="AU351" s="1">
        <v>0</v>
      </c>
      <c r="AV351" s="2" t="s">
        <v>69</v>
      </c>
      <c r="AW351" s="1">
        <v>395.745</v>
      </c>
      <c r="AX351" s="1">
        <f>Table1[[#This Row],[Original Commissionable GMV]]-Table1[[#This Row],[Commission ]]-Table1[[#This Row],[Commission VAT]]-Table1[[#This Row],[FreeDeliveryFund]]</f>
        <v>330.94465259999993</v>
      </c>
      <c r="AY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M351" s="2"/>
    </row>
    <row r="352" spans="12:65" x14ac:dyDescent="0.25">
      <c r="L352" s="2">
        <v>504016</v>
      </c>
      <c r="M352" s="2" t="s">
        <v>52</v>
      </c>
      <c r="N352" s="2">
        <v>505839</v>
      </c>
      <c r="O352" t="s">
        <v>53</v>
      </c>
      <c r="P352">
        <v>3397961153</v>
      </c>
      <c r="Q352" s="5">
        <v>46035.839791666665</v>
      </c>
      <c r="R352" s="2" t="s">
        <v>54</v>
      </c>
      <c r="S352" s="2" t="s">
        <v>51</v>
      </c>
      <c r="T352" s="2" t="s">
        <v>55</v>
      </c>
      <c r="U352" s="2" t="s">
        <v>56</v>
      </c>
      <c r="V352" s="2" t="s">
        <v>57</v>
      </c>
      <c r="W352" s="2" t="s">
        <v>58</v>
      </c>
      <c r="X352" s="2" t="s">
        <v>59</v>
      </c>
      <c r="Y352" s="1">
        <v>744.92</v>
      </c>
      <c r="Z352" s="1">
        <v>744.92</v>
      </c>
      <c r="AA352" s="1">
        <v>0</v>
      </c>
      <c r="AB352" s="1">
        <v>29.99</v>
      </c>
      <c r="AC352" s="1">
        <v>0</v>
      </c>
      <c r="AD352" s="1">
        <v>95.164389999999997</v>
      </c>
      <c r="AE352" s="1">
        <v>774.91</v>
      </c>
      <c r="AG352" s="1">
        <v>0</v>
      </c>
      <c r="AH352" s="1">
        <v>0</v>
      </c>
      <c r="AI352" s="1">
        <v>132.24</v>
      </c>
      <c r="AJ352" s="1">
        <v>0</v>
      </c>
      <c r="AK352" s="1">
        <v>132.24</v>
      </c>
      <c r="AL352" s="1">
        <v>0</v>
      </c>
      <c r="AM352" s="1">
        <v>0</v>
      </c>
      <c r="AN352" s="1">
        <v>0</v>
      </c>
      <c r="AO352" s="1">
        <v>13.036099999999999</v>
      </c>
      <c r="AP352" s="1">
        <v>1.825054</v>
      </c>
      <c r="AQ352" s="1">
        <v>653.43859999999995</v>
      </c>
      <c r="AR352" s="1">
        <v>653.43859999999995</v>
      </c>
      <c r="AS352" s="1">
        <v>163.35964999999999</v>
      </c>
      <c r="AT352" s="1">
        <v>22.870350999999999</v>
      </c>
      <c r="AU352" s="1">
        <v>33.99</v>
      </c>
      <c r="AV352" s="2" t="s">
        <v>60</v>
      </c>
      <c r="AW352" s="1">
        <v>509.839</v>
      </c>
      <c r="AX352" s="1">
        <f>Table1[[#This Row],[Original Commissionable GMV]]-Table1[[#This Row],[Commission ]]-Table1[[#This Row],[Commission VAT]]-Table1[[#This Row],[FreeDeliveryFund]]</f>
        <v>433.21859899999993</v>
      </c>
      <c r="AY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M352" s="2"/>
    </row>
    <row r="353" spans="12:65" x14ac:dyDescent="0.25">
      <c r="L353" s="2">
        <v>504016</v>
      </c>
      <c r="M353" s="2" t="s">
        <v>52</v>
      </c>
      <c r="N353" s="2">
        <v>505837</v>
      </c>
      <c r="O353" t="s">
        <v>63</v>
      </c>
      <c r="P353">
        <v>3397962684</v>
      </c>
      <c r="Q353" s="5">
        <v>46035.840266203704</v>
      </c>
      <c r="R353" s="2" t="s">
        <v>62</v>
      </c>
      <c r="S353" s="2" t="s">
        <v>51</v>
      </c>
      <c r="T353" s="2" t="s">
        <v>55</v>
      </c>
      <c r="U353" s="2" t="s">
        <v>59</v>
      </c>
      <c r="V353" s="2" t="s">
        <v>57</v>
      </c>
      <c r="W353" s="2" t="s">
        <v>58</v>
      </c>
      <c r="X353" s="2" t="s">
        <v>59</v>
      </c>
      <c r="Y353" s="1">
        <v>524.91999999999996</v>
      </c>
      <c r="Z353" s="1">
        <v>524.91999999999996</v>
      </c>
      <c r="AA353" s="1">
        <v>29.99</v>
      </c>
      <c r="AB353" s="1">
        <v>26.25</v>
      </c>
      <c r="AC353" s="1">
        <v>0</v>
      </c>
      <c r="AD353" s="1">
        <v>71.370530000000002</v>
      </c>
      <c r="AE353" s="1">
        <v>581.16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460.45614</v>
      </c>
      <c r="AR353" s="1">
        <v>460.45614</v>
      </c>
      <c r="AS353" s="1">
        <v>115.11404</v>
      </c>
      <c r="AT353" s="1">
        <v>16.115965599999999</v>
      </c>
      <c r="AU353" s="1">
        <v>0</v>
      </c>
      <c r="AV353" s="2" t="s">
        <v>69</v>
      </c>
      <c r="AW353" s="1">
        <v>393.69</v>
      </c>
      <c r="AX353" s="1">
        <f>Table1[[#This Row],[Original Commissionable GMV]]-Table1[[#This Row],[Commission ]]-Table1[[#This Row],[Commission VAT]]-Table1[[#This Row],[FreeDeliveryFund]]</f>
        <v>329.22613440000003</v>
      </c>
      <c r="AY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M353" s="2"/>
    </row>
    <row r="354" spans="12:65" x14ac:dyDescent="0.25">
      <c r="L354" s="2">
        <v>504016</v>
      </c>
      <c r="M354" s="2" t="s">
        <v>52</v>
      </c>
      <c r="N354" s="2">
        <v>505839</v>
      </c>
      <c r="O354" t="s">
        <v>63</v>
      </c>
      <c r="P354">
        <v>3397982009</v>
      </c>
      <c r="Q354" s="5">
        <v>46035.846585648149</v>
      </c>
      <c r="R354" s="2" t="s">
        <v>54</v>
      </c>
      <c r="S354" s="2" t="s">
        <v>51</v>
      </c>
      <c r="T354" s="2" t="s">
        <v>77</v>
      </c>
      <c r="U354" s="2" t="s">
        <v>59</v>
      </c>
      <c r="V354" s="2" t="s">
        <v>57</v>
      </c>
      <c r="W354" s="2" t="s">
        <v>58</v>
      </c>
      <c r="X354" s="2" t="s">
        <v>59</v>
      </c>
      <c r="Y354" s="1">
        <v>329</v>
      </c>
      <c r="Z354" s="1">
        <v>329</v>
      </c>
      <c r="AA354" s="1">
        <v>0</v>
      </c>
      <c r="AB354" s="1">
        <v>0</v>
      </c>
      <c r="AC354" s="1">
        <v>0</v>
      </c>
      <c r="AD354" s="1">
        <v>34.342979999999997</v>
      </c>
      <c r="AE354" s="1">
        <v>279.64999999999998</v>
      </c>
      <c r="AG354" s="1">
        <v>0</v>
      </c>
      <c r="AH354" s="1">
        <v>49.35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5.7575000000000003</v>
      </c>
      <c r="AP354" s="1">
        <v>0.80605000000000004</v>
      </c>
      <c r="AQ354" s="1">
        <v>288.59649000000002</v>
      </c>
      <c r="AR354" s="1">
        <v>288.59649000000002</v>
      </c>
      <c r="AS354" s="1">
        <v>72.149119999999996</v>
      </c>
      <c r="AT354" s="1">
        <v>10.1008768</v>
      </c>
      <c r="AU354" s="1">
        <v>0</v>
      </c>
      <c r="AV354" s="2" t="s">
        <v>69</v>
      </c>
      <c r="AW354" s="1">
        <v>240.18600000000001</v>
      </c>
      <c r="AX354" s="1">
        <f>Table1[[#This Row],[Original Commissionable GMV]]-Table1[[#This Row],[Commission ]]-Table1[[#This Row],[Commission VAT]]-Table1[[#This Row],[FreeDeliveryFund]]</f>
        <v>206.34649320000003</v>
      </c>
      <c r="AY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M354" s="2"/>
    </row>
    <row r="355" spans="12:65" x14ac:dyDescent="0.25">
      <c r="L355" s="2">
        <v>504016</v>
      </c>
      <c r="M355" s="2" t="s">
        <v>52</v>
      </c>
      <c r="N355" s="2">
        <v>505837</v>
      </c>
      <c r="O355" t="s">
        <v>63</v>
      </c>
      <c r="P355">
        <v>3397994522</v>
      </c>
      <c r="Q355" s="5">
        <v>46035.850740740738</v>
      </c>
      <c r="R355" s="2" t="s">
        <v>54</v>
      </c>
      <c r="S355" s="2" t="s">
        <v>51</v>
      </c>
      <c r="T355" s="2" t="s">
        <v>55</v>
      </c>
      <c r="U355" s="2" t="s">
        <v>56</v>
      </c>
      <c r="V355" s="2" t="s">
        <v>57</v>
      </c>
      <c r="W355" s="2" t="s">
        <v>58</v>
      </c>
      <c r="X355" s="2" t="s">
        <v>59</v>
      </c>
      <c r="Y355" s="1">
        <v>805.99</v>
      </c>
      <c r="Z355" s="1">
        <v>805.99</v>
      </c>
      <c r="AA355" s="1">
        <v>0</v>
      </c>
      <c r="AB355" s="1">
        <v>29.99</v>
      </c>
      <c r="AC355" s="1">
        <v>0</v>
      </c>
      <c r="AD355" s="1">
        <v>102.66421</v>
      </c>
      <c r="AE355" s="1">
        <v>835.98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14.104825</v>
      </c>
      <c r="AP355" s="1">
        <v>1.9746755</v>
      </c>
      <c r="AQ355" s="1">
        <v>707.00877000000003</v>
      </c>
      <c r="AR355" s="1">
        <v>707.00877000000003</v>
      </c>
      <c r="AS355" s="1">
        <v>176.75219000000001</v>
      </c>
      <c r="AT355" s="1">
        <v>24.745306599999999</v>
      </c>
      <c r="AU355" s="1">
        <v>28.99</v>
      </c>
      <c r="AV355" s="2" t="s">
        <v>60</v>
      </c>
      <c r="AW355" s="1">
        <v>559.423</v>
      </c>
      <c r="AX355" s="1">
        <f>Table1[[#This Row],[Original Commissionable GMV]]-Table1[[#This Row],[Commission ]]-Table1[[#This Row],[Commission VAT]]-Table1[[#This Row],[FreeDeliveryFund]]</f>
        <v>476.52127339999998</v>
      </c>
      <c r="AY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M355" s="2"/>
    </row>
    <row r="356" spans="12:65" x14ac:dyDescent="0.25">
      <c r="L356" s="2">
        <v>504016</v>
      </c>
      <c r="M356" s="2" t="s">
        <v>52</v>
      </c>
      <c r="N356" s="2">
        <v>505839</v>
      </c>
      <c r="O356" t="s">
        <v>53</v>
      </c>
      <c r="P356">
        <v>3398037437</v>
      </c>
      <c r="Q356" s="5">
        <v>46035.865648148145</v>
      </c>
      <c r="R356" s="2" t="s">
        <v>54</v>
      </c>
      <c r="S356" s="2" t="s">
        <v>51</v>
      </c>
      <c r="T356" s="2" t="s">
        <v>55</v>
      </c>
      <c r="U356" s="2" t="s">
        <v>56</v>
      </c>
      <c r="V356" s="2" t="s">
        <v>57</v>
      </c>
      <c r="W356" s="2" t="s">
        <v>58</v>
      </c>
      <c r="X356" s="2" t="s">
        <v>59</v>
      </c>
      <c r="Y356" s="1">
        <v>1178.97</v>
      </c>
      <c r="Z356" s="1">
        <v>1178.97</v>
      </c>
      <c r="AA356" s="1">
        <v>30.99</v>
      </c>
      <c r="AB356" s="1">
        <v>29.99</v>
      </c>
      <c r="AC356" s="1">
        <v>0</v>
      </c>
      <c r="AD356" s="1">
        <v>152.27456000000001</v>
      </c>
      <c r="AE356" s="1">
        <v>1239.95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20.631975000000001</v>
      </c>
      <c r="AP356" s="1">
        <v>2.8884764999999999</v>
      </c>
      <c r="AQ356" s="1">
        <v>1034.1842099999999</v>
      </c>
      <c r="AR356" s="1">
        <v>1034.1842099999999</v>
      </c>
      <c r="AS356" s="1">
        <v>258.54604999999998</v>
      </c>
      <c r="AT356" s="1">
        <v>36.196446999999999</v>
      </c>
      <c r="AU356" s="1">
        <v>0</v>
      </c>
      <c r="AV356" s="2" t="s">
        <v>69</v>
      </c>
      <c r="AW356" s="1">
        <v>860.70699999999999</v>
      </c>
      <c r="AX356" s="1">
        <f>Table1[[#This Row],[Original Commissionable GMV]]-Table1[[#This Row],[Commission ]]-Table1[[#This Row],[Commission VAT]]-Table1[[#This Row],[FreeDeliveryFund]]</f>
        <v>739.44171299999994</v>
      </c>
      <c r="AY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M356" s="2"/>
    </row>
    <row r="357" spans="12:65" x14ac:dyDescent="0.25">
      <c r="L357" s="2">
        <v>504016</v>
      </c>
      <c r="M357" s="2" t="s">
        <v>52</v>
      </c>
      <c r="N357" s="2">
        <v>505839</v>
      </c>
      <c r="O357" t="s">
        <v>53</v>
      </c>
      <c r="P357">
        <v>3398048550</v>
      </c>
      <c r="Q357" s="5">
        <v>46035.869641203702</v>
      </c>
      <c r="R357" s="2" t="s">
        <v>62</v>
      </c>
      <c r="S357" s="2" t="s">
        <v>51</v>
      </c>
      <c r="T357" s="2" t="s">
        <v>55</v>
      </c>
      <c r="U357" s="2" t="s">
        <v>56</v>
      </c>
      <c r="V357" s="2" t="s">
        <v>57</v>
      </c>
      <c r="W357" s="2" t="s">
        <v>58</v>
      </c>
      <c r="X357" s="2" t="s">
        <v>59</v>
      </c>
      <c r="Y357" s="1">
        <v>529.98</v>
      </c>
      <c r="Z357" s="1">
        <v>529.98</v>
      </c>
      <c r="AA357" s="1">
        <v>32.99</v>
      </c>
      <c r="AB357" s="1">
        <v>26.5</v>
      </c>
      <c r="AC357" s="1">
        <v>0</v>
      </c>
      <c r="AD357" s="1">
        <v>72.391050000000007</v>
      </c>
      <c r="AE357" s="1">
        <v>589.47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464.89474000000001</v>
      </c>
      <c r="AR357" s="1">
        <v>464.89474000000001</v>
      </c>
      <c r="AS357" s="1">
        <v>116.22369</v>
      </c>
      <c r="AT357" s="1">
        <v>16.271316599999999</v>
      </c>
      <c r="AU357" s="1">
        <v>0</v>
      </c>
      <c r="AV357" s="2" t="s">
        <v>69</v>
      </c>
      <c r="AW357" s="1">
        <v>397.48500000000001</v>
      </c>
      <c r="AX357" s="1">
        <f>Table1[[#This Row],[Original Commissionable GMV]]-Table1[[#This Row],[Commission ]]-Table1[[#This Row],[Commission VAT]]-Table1[[#This Row],[FreeDeliveryFund]]</f>
        <v>332.39973340000006</v>
      </c>
      <c r="AY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M357" s="2"/>
    </row>
    <row r="358" spans="12:65" x14ac:dyDescent="0.25">
      <c r="L358" s="2">
        <v>504016</v>
      </c>
      <c r="M358" s="2" t="s">
        <v>52</v>
      </c>
      <c r="N358" s="2">
        <v>505837</v>
      </c>
      <c r="O358" t="s">
        <v>65</v>
      </c>
      <c r="P358">
        <v>3398060617</v>
      </c>
      <c r="Q358" s="5">
        <v>46035.874039351853</v>
      </c>
      <c r="R358" s="2" t="s">
        <v>54</v>
      </c>
      <c r="S358" s="2" t="s">
        <v>51</v>
      </c>
      <c r="T358" s="2" t="s">
        <v>55</v>
      </c>
      <c r="U358" s="2" t="s">
        <v>56</v>
      </c>
      <c r="V358" s="2" t="s">
        <v>57</v>
      </c>
      <c r="W358" s="2" t="s">
        <v>58</v>
      </c>
      <c r="X358" s="2" t="s">
        <v>59</v>
      </c>
      <c r="Y358" s="1">
        <v>465.98</v>
      </c>
      <c r="Z358" s="1">
        <v>465.98</v>
      </c>
      <c r="AA358" s="1">
        <v>27.99</v>
      </c>
      <c r="AB358" s="1">
        <v>23.3</v>
      </c>
      <c r="AC358" s="1">
        <v>0</v>
      </c>
      <c r="AD358" s="1">
        <v>63.524389999999997</v>
      </c>
      <c r="AE358" s="1">
        <v>517.27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8.1546500000000002</v>
      </c>
      <c r="AP358" s="1">
        <v>1.141651</v>
      </c>
      <c r="AQ358" s="1">
        <v>408.75439</v>
      </c>
      <c r="AR358" s="1">
        <v>408.75439</v>
      </c>
      <c r="AS358" s="1">
        <v>102.18859999999999</v>
      </c>
      <c r="AT358" s="1">
        <v>14.306404000000001</v>
      </c>
      <c r="AU358" s="1">
        <v>0</v>
      </c>
      <c r="AV358" s="2" t="s">
        <v>69</v>
      </c>
      <c r="AW358" s="1">
        <v>340.18900000000002</v>
      </c>
      <c r="AX358" s="1">
        <f>Table1[[#This Row],[Original Commissionable GMV]]-Table1[[#This Row],[Commission ]]-Table1[[#This Row],[Commission VAT]]-Table1[[#This Row],[FreeDeliveryFund]]</f>
        <v>292.25938600000001</v>
      </c>
      <c r="AY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M358" s="2"/>
    </row>
    <row r="359" spans="12:65" x14ac:dyDescent="0.25">
      <c r="L359" s="2">
        <v>504016</v>
      </c>
      <c r="M359" s="2" t="s">
        <v>52</v>
      </c>
      <c r="N359" s="2">
        <v>505839</v>
      </c>
      <c r="O359" t="s">
        <v>53</v>
      </c>
      <c r="P359">
        <v>3398130619</v>
      </c>
      <c r="Q359" s="5">
        <v>46035.901666666665</v>
      </c>
      <c r="R359" s="2" t="s">
        <v>54</v>
      </c>
      <c r="S359" s="2" t="s">
        <v>51</v>
      </c>
      <c r="T359" s="2" t="s">
        <v>55</v>
      </c>
      <c r="U359" s="2" t="s">
        <v>59</v>
      </c>
      <c r="V359" s="2" t="s">
        <v>57</v>
      </c>
      <c r="W359" s="2" t="s">
        <v>58</v>
      </c>
      <c r="X359" s="2" t="s">
        <v>59</v>
      </c>
      <c r="Y359" s="1">
        <v>1341.62</v>
      </c>
      <c r="Z359" s="1">
        <v>1404.62</v>
      </c>
      <c r="AA359" s="1">
        <v>9</v>
      </c>
      <c r="AB359" s="1">
        <v>29.99</v>
      </c>
      <c r="AC359" s="1">
        <v>0</v>
      </c>
      <c r="AD359" s="1">
        <v>177.28543999999999</v>
      </c>
      <c r="AE359" s="1">
        <v>1380.61</v>
      </c>
      <c r="AG359" s="1">
        <v>0</v>
      </c>
      <c r="AH359" s="1">
        <v>63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23.478349999999999</v>
      </c>
      <c r="AP359" s="1">
        <v>3.286969</v>
      </c>
      <c r="AQ359" s="1">
        <v>1176.8596500000001</v>
      </c>
      <c r="AR359" s="1">
        <v>1176.8596500000001</v>
      </c>
      <c r="AS359" s="1">
        <v>294.21490999999997</v>
      </c>
      <c r="AT359" s="1">
        <v>41.190087400000003</v>
      </c>
      <c r="AU359" s="1">
        <v>30.99</v>
      </c>
      <c r="AV359" s="2" t="s">
        <v>60</v>
      </c>
      <c r="AW359" s="1">
        <v>948.46</v>
      </c>
      <c r="AX359" s="1">
        <f>Table1[[#This Row],[Original Commissionable GMV]]-Table1[[#This Row],[Commission ]]-Table1[[#This Row],[Commission VAT]]-Table1[[#This Row],[FreeDeliveryFund]]</f>
        <v>810.46465260000014</v>
      </c>
      <c r="AY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M359" s="2"/>
    </row>
    <row r="360" spans="12:65" x14ac:dyDescent="0.25">
      <c r="L360" s="2">
        <v>504016</v>
      </c>
      <c r="M360" s="2" t="s">
        <v>52</v>
      </c>
      <c r="N360" s="2">
        <v>505837</v>
      </c>
      <c r="O360" t="s">
        <v>53</v>
      </c>
      <c r="P360">
        <v>3398179592</v>
      </c>
      <c r="Q360" s="5">
        <v>46035.923715277779</v>
      </c>
      <c r="R360" s="2" t="s">
        <v>62</v>
      </c>
      <c r="S360" s="2" t="s">
        <v>51</v>
      </c>
      <c r="T360" s="2" t="s">
        <v>55</v>
      </c>
      <c r="U360" s="2" t="s">
        <v>56</v>
      </c>
      <c r="V360" s="2" t="s">
        <v>57</v>
      </c>
      <c r="W360" s="2" t="s">
        <v>58</v>
      </c>
      <c r="X360" s="2" t="s">
        <v>59</v>
      </c>
      <c r="Y360" s="1">
        <v>724.29</v>
      </c>
      <c r="Z360" s="1">
        <v>724.29</v>
      </c>
      <c r="AA360" s="1">
        <v>30.99</v>
      </c>
      <c r="AB360" s="1">
        <v>29.99</v>
      </c>
      <c r="AC360" s="1">
        <v>0</v>
      </c>
      <c r="AD360" s="1">
        <v>96.436670000000007</v>
      </c>
      <c r="AE360" s="1">
        <v>785.27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635.34211000000005</v>
      </c>
      <c r="AR360" s="1">
        <v>635.34211000000005</v>
      </c>
      <c r="AS360" s="1">
        <v>158.83553000000001</v>
      </c>
      <c r="AT360" s="1">
        <v>22.236974199999999</v>
      </c>
      <c r="AU360" s="1">
        <v>0</v>
      </c>
      <c r="AV360" s="2" t="s">
        <v>69</v>
      </c>
      <c r="AW360" s="1">
        <v>543.21699999999998</v>
      </c>
      <c r="AX360" s="1">
        <f>Table1[[#This Row],[Original Commissionable GMV]]-Table1[[#This Row],[Commission ]]-Table1[[#This Row],[Commission VAT]]-Table1[[#This Row],[FreeDeliveryFund]]</f>
        <v>454.26960580000002</v>
      </c>
      <c r="AY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M360" s="2"/>
    </row>
    <row r="361" spans="12:65" x14ac:dyDescent="0.25">
      <c r="L361" s="2">
        <v>504016</v>
      </c>
      <c r="M361" s="2" t="s">
        <v>52</v>
      </c>
      <c r="N361" s="2">
        <v>505839</v>
      </c>
      <c r="O361" t="s">
        <v>63</v>
      </c>
      <c r="P361">
        <v>3398230916</v>
      </c>
      <c r="Q361" s="5">
        <v>46035.950740740744</v>
      </c>
      <c r="R361" s="2" t="s">
        <v>54</v>
      </c>
      <c r="S361" s="2" t="s">
        <v>51</v>
      </c>
      <c r="T361" s="2" t="s">
        <v>55</v>
      </c>
      <c r="U361" s="2" t="s">
        <v>56</v>
      </c>
      <c r="V361" s="2" t="s">
        <v>57</v>
      </c>
      <c r="W361" s="2" t="s">
        <v>58</v>
      </c>
      <c r="X361" s="2" t="s">
        <v>59</v>
      </c>
      <c r="Y361" s="1">
        <v>704.99</v>
      </c>
      <c r="Z361" s="1">
        <v>704.99</v>
      </c>
      <c r="AA361" s="1">
        <v>30.99</v>
      </c>
      <c r="AB361" s="1">
        <v>29.99</v>
      </c>
      <c r="AC361" s="1">
        <v>0</v>
      </c>
      <c r="AD361" s="1">
        <v>94.066490000000002</v>
      </c>
      <c r="AE361" s="1">
        <v>765.97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12.337325</v>
      </c>
      <c r="AP361" s="1">
        <v>1.7272255000000001</v>
      </c>
      <c r="AQ361" s="1">
        <v>618.41228000000001</v>
      </c>
      <c r="AR361" s="1">
        <v>618.41228000000001</v>
      </c>
      <c r="AS361" s="1">
        <v>154.60307</v>
      </c>
      <c r="AT361" s="1">
        <v>21.644429800000001</v>
      </c>
      <c r="AU361" s="1">
        <v>0</v>
      </c>
      <c r="AV361" s="2" t="s">
        <v>69</v>
      </c>
      <c r="AW361" s="1">
        <v>514.678</v>
      </c>
      <c r="AX361" s="1">
        <f>Table1[[#This Row],[Original Commissionable GMV]]-Table1[[#This Row],[Commission ]]-Table1[[#This Row],[Commission VAT]]-Table1[[#This Row],[FreeDeliveryFund]]</f>
        <v>442.1647802</v>
      </c>
      <c r="AY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M361" s="2"/>
    </row>
    <row r="362" spans="12:65" x14ac:dyDescent="0.25">
      <c r="L362" s="2">
        <v>504016</v>
      </c>
      <c r="M362" s="2" t="s">
        <v>52</v>
      </c>
      <c r="N362" s="2">
        <v>505839</v>
      </c>
      <c r="O362" t="s">
        <v>63</v>
      </c>
      <c r="P362">
        <v>3398735734</v>
      </c>
      <c r="Q362" s="5">
        <v>46036.486840277779</v>
      </c>
      <c r="R362" s="2" t="s">
        <v>54</v>
      </c>
      <c r="S362" s="2" t="s">
        <v>51</v>
      </c>
      <c r="T362" s="2" t="s">
        <v>55</v>
      </c>
      <c r="U362" s="2" t="s">
        <v>56</v>
      </c>
      <c r="V362" s="2" t="s">
        <v>57</v>
      </c>
      <c r="W362" s="2" t="s">
        <v>58</v>
      </c>
      <c r="X362" s="2" t="s">
        <v>59</v>
      </c>
      <c r="Y362" s="1">
        <v>253.99</v>
      </c>
      <c r="Z362" s="1">
        <v>253.99</v>
      </c>
      <c r="AA362" s="1">
        <v>0</v>
      </c>
      <c r="AB362" s="1">
        <v>12.7</v>
      </c>
      <c r="AC362" s="1">
        <v>0</v>
      </c>
      <c r="AD362" s="1">
        <v>32.751399999999997</v>
      </c>
      <c r="AE362" s="1">
        <v>266.69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4.4448249999999998</v>
      </c>
      <c r="AP362" s="1">
        <v>0.62227549999999998</v>
      </c>
      <c r="AQ362" s="1">
        <v>222.79825</v>
      </c>
      <c r="AR362" s="1">
        <v>222.79825</v>
      </c>
      <c r="AS362" s="1">
        <v>55.699559999999998</v>
      </c>
      <c r="AT362" s="1">
        <v>7.7979383999999996</v>
      </c>
      <c r="AU362" s="1">
        <v>29.99</v>
      </c>
      <c r="AV362" s="2" t="s">
        <v>60</v>
      </c>
      <c r="AW362" s="1">
        <v>155.435</v>
      </c>
      <c r="AX362" s="1">
        <f>Table1[[#This Row],[Original Commissionable GMV]]-Table1[[#This Row],[Commission ]]-Table1[[#This Row],[Commission VAT]]-Table1[[#This Row],[FreeDeliveryFund]]</f>
        <v>129.3107516</v>
      </c>
      <c r="AY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M362" s="2"/>
    </row>
    <row r="363" spans="12:65" x14ac:dyDescent="0.25">
      <c r="L363" s="2">
        <v>504016</v>
      </c>
      <c r="M363" s="2" t="s">
        <v>52</v>
      </c>
      <c r="N363" s="2">
        <v>505839</v>
      </c>
      <c r="O363" t="s">
        <v>53</v>
      </c>
      <c r="P363">
        <v>3398812723</v>
      </c>
      <c r="Q363" s="5">
        <v>46036.521620370368</v>
      </c>
      <c r="R363" s="2" t="s">
        <v>62</v>
      </c>
      <c r="S363" s="2" t="s">
        <v>51</v>
      </c>
      <c r="T363" s="2" t="s">
        <v>55</v>
      </c>
      <c r="U363" s="2" t="s">
        <v>56</v>
      </c>
      <c r="V363" s="2" t="s">
        <v>57</v>
      </c>
      <c r="W363" s="2" t="s">
        <v>58</v>
      </c>
      <c r="X363" s="2" t="s">
        <v>59</v>
      </c>
      <c r="Y363" s="1">
        <v>454.99</v>
      </c>
      <c r="Z363" s="1">
        <v>454.99</v>
      </c>
      <c r="AA363" s="1">
        <v>31.99</v>
      </c>
      <c r="AB363" s="1">
        <v>22.75</v>
      </c>
      <c r="AC363" s="1">
        <v>0</v>
      </c>
      <c r="AD363" s="1">
        <v>62.598419999999997</v>
      </c>
      <c r="AE363" s="1">
        <v>509.73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399.11403999999999</v>
      </c>
      <c r="AR363" s="1">
        <v>399.11403999999999</v>
      </c>
      <c r="AS363" s="1">
        <v>99.778509999999997</v>
      </c>
      <c r="AT363" s="1">
        <v>13.9689914</v>
      </c>
      <c r="AU363" s="1">
        <v>0</v>
      </c>
      <c r="AV363" s="2" t="s">
        <v>69</v>
      </c>
      <c r="AW363" s="1">
        <v>341.24200000000002</v>
      </c>
      <c r="AX363" s="1">
        <f>Table1[[#This Row],[Original Commissionable GMV]]-Table1[[#This Row],[Commission ]]-Table1[[#This Row],[Commission VAT]]-Table1[[#This Row],[FreeDeliveryFund]]</f>
        <v>285.36653860000001</v>
      </c>
      <c r="AY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M363" s="2"/>
    </row>
    <row r="364" spans="12:65" x14ac:dyDescent="0.25">
      <c r="L364" s="2">
        <v>504016</v>
      </c>
      <c r="M364" s="2" t="s">
        <v>52</v>
      </c>
      <c r="N364" s="2">
        <v>505839</v>
      </c>
      <c r="O364" t="s">
        <v>65</v>
      </c>
      <c r="P364">
        <v>3398833505</v>
      </c>
      <c r="Q364" s="5">
        <v>46036.530694444446</v>
      </c>
      <c r="R364" s="2" t="s">
        <v>54</v>
      </c>
      <c r="S364" s="2" t="s">
        <v>51</v>
      </c>
      <c r="T364" s="2" t="s">
        <v>55</v>
      </c>
      <c r="U364" s="2" t="s">
        <v>59</v>
      </c>
      <c r="V364" s="2" t="s">
        <v>57</v>
      </c>
      <c r="W364" s="2" t="s">
        <v>58</v>
      </c>
      <c r="X364" s="2" t="s">
        <v>59</v>
      </c>
      <c r="Y364" s="1">
        <v>355.99</v>
      </c>
      <c r="Z364" s="1">
        <v>355.99</v>
      </c>
      <c r="AA364" s="1">
        <v>33.99</v>
      </c>
      <c r="AB364" s="1">
        <v>17.8</v>
      </c>
      <c r="AC364" s="1">
        <v>0</v>
      </c>
      <c r="AD364" s="1">
        <v>40.253680000000003</v>
      </c>
      <c r="AE364" s="1">
        <v>327.78</v>
      </c>
      <c r="AG364" s="1">
        <v>0</v>
      </c>
      <c r="AH364" s="1">
        <v>80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6.2298249999999999</v>
      </c>
      <c r="AP364" s="1">
        <v>0.87217549999999999</v>
      </c>
      <c r="AQ364" s="1">
        <v>312.27193</v>
      </c>
      <c r="AR364" s="1">
        <v>312.27193</v>
      </c>
      <c r="AS364" s="1">
        <v>78.067980000000006</v>
      </c>
      <c r="AT364" s="1">
        <v>10.929517199999999</v>
      </c>
      <c r="AU364" s="1">
        <v>0</v>
      </c>
      <c r="AV364" s="2" t="s">
        <v>69</v>
      </c>
      <c r="AW364" s="1">
        <v>259.89100000000002</v>
      </c>
      <c r="AX364" s="1">
        <f>Table1[[#This Row],[Original Commissionable GMV]]-Table1[[#This Row],[Commission ]]-Table1[[#This Row],[Commission VAT]]-Table1[[#This Row],[FreeDeliveryFund]]</f>
        <v>223.2744328</v>
      </c>
      <c r="AY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M364" s="2"/>
    </row>
    <row r="365" spans="12:65" x14ac:dyDescent="0.25">
      <c r="L365" s="2">
        <v>504016</v>
      </c>
      <c r="M365" s="2" t="s">
        <v>52</v>
      </c>
      <c r="N365" s="2">
        <v>505839</v>
      </c>
      <c r="O365" t="s">
        <v>63</v>
      </c>
      <c r="P365">
        <v>3398835419</v>
      </c>
      <c r="Q365" s="5">
        <v>46036.531539351854</v>
      </c>
      <c r="R365" s="2" t="s">
        <v>62</v>
      </c>
      <c r="S365" s="2" t="s">
        <v>51</v>
      </c>
      <c r="T365" s="2" t="s">
        <v>55</v>
      </c>
      <c r="U365" s="2" t="s">
        <v>59</v>
      </c>
      <c r="V365" s="2" t="s">
        <v>57</v>
      </c>
      <c r="W365" s="2" t="s">
        <v>58</v>
      </c>
      <c r="X365" s="2" t="s">
        <v>59</v>
      </c>
      <c r="Y365" s="1">
        <v>362.99</v>
      </c>
      <c r="Z365" s="1">
        <v>362.99</v>
      </c>
      <c r="AA365" s="1">
        <v>0</v>
      </c>
      <c r="AB365" s="1">
        <v>18.149999999999999</v>
      </c>
      <c r="AC365" s="1">
        <v>0</v>
      </c>
      <c r="AD365" s="1">
        <v>46.806669999999997</v>
      </c>
      <c r="AE365" s="1">
        <v>381.14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318.41228000000001</v>
      </c>
      <c r="AR365" s="1">
        <v>318.41228000000001</v>
      </c>
      <c r="AS365" s="1">
        <v>79.603070000000002</v>
      </c>
      <c r="AT365" s="1">
        <v>11.144429799999999</v>
      </c>
      <c r="AU365" s="1">
        <v>26.99</v>
      </c>
      <c r="AV365" s="2" t="s">
        <v>60</v>
      </c>
      <c r="AW365" s="1">
        <v>245.25299999999999</v>
      </c>
      <c r="AX365" s="1">
        <f>Table1[[#This Row],[Original Commissionable GMV]]-Table1[[#This Row],[Commission ]]-Table1[[#This Row],[Commission VAT]]-Table1[[#This Row],[FreeDeliveryFund]]</f>
        <v>200.67478019999999</v>
      </c>
      <c r="AY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M365" s="2"/>
    </row>
    <row r="366" spans="12:65" x14ac:dyDescent="0.25">
      <c r="L366" s="2">
        <v>504016</v>
      </c>
      <c r="M366" s="2" t="s">
        <v>52</v>
      </c>
      <c r="N366" s="2">
        <v>505837</v>
      </c>
      <c r="O366" t="s">
        <v>53</v>
      </c>
      <c r="P366">
        <v>3398998380</v>
      </c>
      <c r="Q366" s="5">
        <v>46036.599305555559</v>
      </c>
      <c r="R366" s="2" t="s">
        <v>54</v>
      </c>
      <c r="S366" s="2" t="s">
        <v>51</v>
      </c>
      <c r="T366" s="2" t="s">
        <v>55</v>
      </c>
      <c r="U366" s="2" t="s">
        <v>56</v>
      </c>
      <c r="V366" s="2" t="s">
        <v>57</v>
      </c>
      <c r="W366" s="2" t="s">
        <v>58</v>
      </c>
      <c r="X366" s="2" t="s">
        <v>59</v>
      </c>
      <c r="Y366" s="1">
        <v>639.99</v>
      </c>
      <c r="Z366" s="1">
        <v>639.99</v>
      </c>
      <c r="AA366" s="1">
        <v>31.99</v>
      </c>
      <c r="AB366" s="1">
        <v>29.99</v>
      </c>
      <c r="AC366" s="1">
        <v>0</v>
      </c>
      <c r="AD366" s="1">
        <v>86.20684</v>
      </c>
      <c r="AE366" s="1">
        <v>701.97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11.199825000000001</v>
      </c>
      <c r="AP366" s="1">
        <v>1.5679755</v>
      </c>
      <c r="AQ366" s="1">
        <v>561.39473999999996</v>
      </c>
      <c r="AR366" s="1">
        <v>561.39473999999996</v>
      </c>
      <c r="AS366" s="1">
        <v>140.34869</v>
      </c>
      <c r="AT366" s="1">
        <v>19.6488166</v>
      </c>
      <c r="AU366" s="1">
        <v>0</v>
      </c>
      <c r="AV366" s="2" t="s">
        <v>69</v>
      </c>
      <c r="AW366" s="1">
        <v>467.22500000000002</v>
      </c>
      <c r="AX366" s="1">
        <f>Table1[[#This Row],[Original Commissionable GMV]]-Table1[[#This Row],[Commission ]]-Table1[[#This Row],[Commission VAT]]-Table1[[#This Row],[FreeDeliveryFund]]</f>
        <v>401.39723339999995</v>
      </c>
      <c r="AY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M366" s="2"/>
    </row>
    <row r="367" spans="12:65" x14ac:dyDescent="0.25">
      <c r="L367" s="2">
        <v>504016</v>
      </c>
      <c r="M367" s="2" t="s">
        <v>52</v>
      </c>
      <c r="N367" s="2">
        <v>505839</v>
      </c>
      <c r="O367" t="s">
        <v>63</v>
      </c>
      <c r="P367">
        <v>3399006832</v>
      </c>
      <c r="Q367" s="5">
        <v>46036.602696759262</v>
      </c>
      <c r="R367" s="2" t="s">
        <v>54</v>
      </c>
      <c r="S367" s="2" t="s">
        <v>51</v>
      </c>
      <c r="T367" s="2" t="s">
        <v>55</v>
      </c>
      <c r="U367" s="2" t="s">
        <v>56</v>
      </c>
      <c r="V367" s="2" t="s">
        <v>57</v>
      </c>
      <c r="W367" s="2" t="s">
        <v>58</v>
      </c>
      <c r="X367" s="2" t="s">
        <v>59</v>
      </c>
      <c r="Y367" s="1">
        <v>714.99</v>
      </c>
      <c r="Z367" s="1">
        <v>714.99</v>
      </c>
      <c r="AA367" s="1">
        <v>29.99</v>
      </c>
      <c r="AB367" s="1">
        <v>29.99</v>
      </c>
      <c r="AC367" s="1">
        <v>0</v>
      </c>
      <c r="AD367" s="1">
        <v>95.171750000000003</v>
      </c>
      <c r="AE367" s="1">
        <v>774.97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30</v>
      </c>
      <c r="AN367" s="1">
        <v>4.2</v>
      </c>
      <c r="AO367" s="1">
        <v>12.512325000000001</v>
      </c>
      <c r="AP367" s="1">
        <v>1.7517255</v>
      </c>
      <c r="AQ367" s="1">
        <v>627.18421000000001</v>
      </c>
      <c r="AR367" s="1">
        <v>627.18421000000001</v>
      </c>
      <c r="AS367" s="1">
        <v>156.79605000000001</v>
      </c>
      <c r="AT367" s="1">
        <v>21.951447000000002</v>
      </c>
      <c r="AU367" s="1">
        <v>0</v>
      </c>
      <c r="AV367" s="2" t="s">
        <v>69</v>
      </c>
      <c r="AW367" s="1">
        <v>487.77800000000002</v>
      </c>
      <c r="AX367" s="1">
        <f>Table1[[#This Row],[Original Commissionable GMV]]-Table1[[#This Row],[Commission ]]-Table1[[#This Row],[Commission VAT]]-Table1[[#This Row],[FreeDeliveryFund]]</f>
        <v>448.43671299999994</v>
      </c>
      <c r="AY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M367" s="2"/>
    </row>
    <row r="368" spans="12:65" x14ac:dyDescent="0.25">
      <c r="L368" s="2">
        <v>504016</v>
      </c>
      <c r="M368" s="2" t="s">
        <v>52</v>
      </c>
      <c r="N368" s="2">
        <v>505835</v>
      </c>
      <c r="O368" t="s">
        <v>53</v>
      </c>
      <c r="P368">
        <v>3399011389</v>
      </c>
      <c r="Q368" s="5">
        <v>46036.604479166665</v>
      </c>
      <c r="R368" s="2" t="s">
        <v>54</v>
      </c>
      <c r="S368" s="2" t="s">
        <v>51</v>
      </c>
      <c r="T368" s="2" t="s">
        <v>55</v>
      </c>
      <c r="U368" s="2" t="s">
        <v>59</v>
      </c>
      <c r="V368" s="2" t="s">
        <v>57</v>
      </c>
      <c r="W368" s="2" t="s">
        <v>58</v>
      </c>
      <c r="X368" s="2" t="s">
        <v>59</v>
      </c>
      <c r="Y368" s="1">
        <v>329.99</v>
      </c>
      <c r="Z368" s="1">
        <v>329.99</v>
      </c>
      <c r="AA368" s="1">
        <v>0</v>
      </c>
      <c r="AB368" s="1">
        <v>16.5</v>
      </c>
      <c r="AC368" s="1">
        <v>0</v>
      </c>
      <c r="AD368" s="1">
        <v>42.551400000000001</v>
      </c>
      <c r="AE368" s="1">
        <v>346.49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5.7748249999999999</v>
      </c>
      <c r="AP368" s="1">
        <v>0.80847550000000001</v>
      </c>
      <c r="AQ368" s="1">
        <v>289.46490999999997</v>
      </c>
      <c r="AR368" s="1">
        <v>289.46490999999997</v>
      </c>
      <c r="AS368" s="1">
        <v>72.366230000000002</v>
      </c>
      <c r="AT368" s="1">
        <v>10.1312722</v>
      </c>
      <c r="AU368" s="1">
        <v>33.99</v>
      </c>
      <c r="AV368" s="2" t="s">
        <v>60</v>
      </c>
      <c r="AW368" s="1">
        <v>206.91900000000001</v>
      </c>
      <c r="AX368" s="1">
        <f>Table1[[#This Row],[Original Commissionable GMV]]-Table1[[#This Row],[Commission ]]-Table1[[#This Row],[Commission VAT]]-Table1[[#This Row],[FreeDeliveryFund]]</f>
        <v>172.97740779999995</v>
      </c>
      <c r="AY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M368" s="2"/>
    </row>
    <row r="369" spans="12:65" x14ac:dyDescent="0.25">
      <c r="L369" s="2">
        <v>504016</v>
      </c>
      <c r="M369" s="2" t="s">
        <v>52</v>
      </c>
      <c r="N369" s="2">
        <v>505839</v>
      </c>
      <c r="O369" t="s">
        <v>63</v>
      </c>
      <c r="P369">
        <v>3399015860</v>
      </c>
      <c r="Q369" s="5">
        <v>46036.606273148151</v>
      </c>
      <c r="R369" s="2" t="s">
        <v>54</v>
      </c>
      <c r="S369" s="2" t="s">
        <v>51</v>
      </c>
      <c r="T369" s="2" t="s">
        <v>55</v>
      </c>
      <c r="U369" s="2" t="s">
        <v>59</v>
      </c>
      <c r="V369" s="2" t="s">
        <v>57</v>
      </c>
      <c r="W369" s="2" t="s">
        <v>58</v>
      </c>
      <c r="X369" s="2" t="s">
        <v>59</v>
      </c>
      <c r="Y369" s="1">
        <v>420.98</v>
      </c>
      <c r="Z369" s="1">
        <v>459.98</v>
      </c>
      <c r="AA369" s="1">
        <v>0</v>
      </c>
      <c r="AB369" s="1">
        <v>23</v>
      </c>
      <c r="AC369" s="1">
        <v>0</v>
      </c>
      <c r="AD369" s="1">
        <v>59.313330000000001</v>
      </c>
      <c r="AE369" s="1">
        <v>443.98</v>
      </c>
      <c r="AG369" s="1">
        <v>0</v>
      </c>
      <c r="AH369" s="1">
        <v>39</v>
      </c>
      <c r="AI369" s="1">
        <v>0</v>
      </c>
      <c r="AJ369" s="1">
        <v>0</v>
      </c>
      <c r="AK369" s="1">
        <v>0</v>
      </c>
      <c r="AL369" s="1">
        <v>0</v>
      </c>
      <c r="AM369" s="1">
        <v>30</v>
      </c>
      <c r="AN369" s="1">
        <v>4.2</v>
      </c>
      <c r="AO369" s="1">
        <v>7.3671499999999996</v>
      </c>
      <c r="AP369" s="1">
        <v>1.031401</v>
      </c>
      <c r="AQ369" s="1">
        <v>369.28070000000002</v>
      </c>
      <c r="AR369" s="1">
        <v>369.28070000000002</v>
      </c>
      <c r="AS369" s="1">
        <v>92.320179999999993</v>
      </c>
      <c r="AT369" s="1">
        <v>12.924825200000001</v>
      </c>
      <c r="AU369" s="1">
        <v>29.99</v>
      </c>
      <c r="AV369" s="2" t="s">
        <v>60</v>
      </c>
      <c r="AW369" s="1">
        <v>243.14599999999999</v>
      </c>
      <c r="AX369" s="1">
        <f>Table1[[#This Row],[Original Commissionable GMV]]-Table1[[#This Row],[Commission ]]-Table1[[#This Row],[Commission VAT]]-Table1[[#This Row],[FreeDeliveryFund]]</f>
        <v>234.04569480000004</v>
      </c>
      <c r="AY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M369" s="2"/>
    </row>
    <row r="370" spans="12:65" x14ac:dyDescent="0.25">
      <c r="L370" s="2">
        <v>504016</v>
      </c>
      <c r="M370" s="2" t="s">
        <v>52</v>
      </c>
      <c r="N370" s="2">
        <v>505839</v>
      </c>
      <c r="O370" t="s">
        <v>63</v>
      </c>
      <c r="P370">
        <v>3399170781</v>
      </c>
      <c r="Q370" s="5">
        <v>46036.666064814817</v>
      </c>
      <c r="R370" s="2" t="s">
        <v>54</v>
      </c>
      <c r="S370" s="2" t="s">
        <v>51</v>
      </c>
      <c r="T370" s="2" t="s">
        <v>55</v>
      </c>
      <c r="U370" s="2" t="s">
        <v>56</v>
      </c>
      <c r="V370" s="2" t="s">
        <v>57</v>
      </c>
      <c r="W370" s="2" t="s">
        <v>58</v>
      </c>
      <c r="X370" s="2" t="s">
        <v>59</v>
      </c>
      <c r="Y370" s="1">
        <v>453.98</v>
      </c>
      <c r="Z370" s="1">
        <v>453.98</v>
      </c>
      <c r="AA370" s="1">
        <v>35.99</v>
      </c>
      <c r="AB370" s="1">
        <v>22.7</v>
      </c>
      <c r="AC370" s="1">
        <v>0</v>
      </c>
      <c r="AD370" s="1">
        <v>62.959470000000003</v>
      </c>
      <c r="AE370" s="1">
        <v>512.66999999999996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7.9446500000000002</v>
      </c>
      <c r="AP370" s="1">
        <v>1.1122510000000001</v>
      </c>
      <c r="AQ370" s="1">
        <v>398.22807</v>
      </c>
      <c r="AR370" s="1">
        <v>398.22807</v>
      </c>
      <c r="AS370" s="1">
        <v>99.557019999999994</v>
      </c>
      <c r="AT370" s="1">
        <v>13.9379828</v>
      </c>
      <c r="AU370" s="1">
        <v>0</v>
      </c>
      <c r="AV370" s="2" t="s">
        <v>69</v>
      </c>
      <c r="AW370" s="1">
        <v>331.428</v>
      </c>
      <c r="AX370" s="1">
        <f>Table1[[#This Row],[Original Commissionable GMV]]-Table1[[#This Row],[Commission ]]-Table1[[#This Row],[Commission VAT]]-Table1[[#This Row],[FreeDeliveryFund]]</f>
        <v>284.73306720000005</v>
      </c>
      <c r="AY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M370" s="2"/>
    </row>
    <row r="371" spans="12:65" x14ac:dyDescent="0.25">
      <c r="L371" s="2">
        <v>504016</v>
      </c>
      <c r="M371" s="2" t="s">
        <v>52</v>
      </c>
      <c r="N371" s="2">
        <v>505835</v>
      </c>
      <c r="O371" t="s">
        <v>53</v>
      </c>
      <c r="P371">
        <v>3399233684</v>
      </c>
      <c r="Q371" s="5">
        <v>46036.688599537039</v>
      </c>
      <c r="R371" s="2" t="s">
        <v>62</v>
      </c>
      <c r="S371" s="2" t="s">
        <v>51</v>
      </c>
      <c r="T371" s="2" t="s">
        <v>55</v>
      </c>
      <c r="U371" s="2" t="s">
        <v>59</v>
      </c>
      <c r="V371" s="2" t="s">
        <v>57</v>
      </c>
      <c r="W371" s="2" t="s">
        <v>58</v>
      </c>
      <c r="X371" s="2" t="s">
        <v>59</v>
      </c>
      <c r="Y371" s="1">
        <v>1689.78</v>
      </c>
      <c r="Z371" s="1">
        <v>1721.28</v>
      </c>
      <c r="AA371" s="1">
        <v>9</v>
      </c>
      <c r="AB371" s="1">
        <v>29.99</v>
      </c>
      <c r="AC371" s="1">
        <v>0</v>
      </c>
      <c r="AD371" s="1">
        <v>216.17350999999999</v>
      </c>
      <c r="AE371" s="1">
        <v>1728.77</v>
      </c>
      <c r="AG371" s="1">
        <v>0</v>
      </c>
      <c r="AH371" s="1">
        <v>31.5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1482.26316</v>
      </c>
      <c r="AR371" s="1">
        <v>1482.26316</v>
      </c>
      <c r="AS371" s="1">
        <v>370.56578999999999</v>
      </c>
      <c r="AT371" s="1">
        <v>51.8792106</v>
      </c>
      <c r="AU371" s="1">
        <v>34.99</v>
      </c>
      <c r="AV371" s="2" t="s">
        <v>60</v>
      </c>
      <c r="AW371" s="1">
        <v>1232.345</v>
      </c>
      <c r="AX371" s="1">
        <f>Table1[[#This Row],[Original Commissionable GMV]]-Table1[[#This Row],[Commission ]]-Table1[[#This Row],[Commission VAT]]-Table1[[#This Row],[FreeDeliveryFund]]</f>
        <v>1024.8281593999998</v>
      </c>
      <c r="AY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M371" s="2"/>
    </row>
    <row r="372" spans="12:65" x14ac:dyDescent="0.25">
      <c r="L372" s="2">
        <v>504016</v>
      </c>
      <c r="M372" s="2" t="s">
        <v>52</v>
      </c>
      <c r="N372" s="2">
        <v>505835</v>
      </c>
      <c r="O372" t="s">
        <v>63</v>
      </c>
      <c r="P372">
        <v>3399234751</v>
      </c>
      <c r="Q372" s="5">
        <v>46036.688946759263</v>
      </c>
      <c r="R372" s="2" t="s">
        <v>54</v>
      </c>
      <c r="S372" s="2" t="s">
        <v>51</v>
      </c>
      <c r="T372" s="2" t="s">
        <v>55</v>
      </c>
      <c r="U372" s="2" t="s">
        <v>56</v>
      </c>
      <c r="V372" s="2" t="s">
        <v>57</v>
      </c>
      <c r="W372" s="2" t="s">
        <v>58</v>
      </c>
      <c r="X372" s="2" t="s">
        <v>59</v>
      </c>
      <c r="Y372" s="1">
        <v>921.56</v>
      </c>
      <c r="Z372" s="1">
        <v>921.56</v>
      </c>
      <c r="AA372" s="1">
        <v>27.99</v>
      </c>
      <c r="AB372" s="1">
        <v>29.99</v>
      </c>
      <c r="AC372" s="1">
        <v>0</v>
      </c>
      <c r="AD372" s="1">
        <v>120.29439000000001</v>
      </c>
      <c r="AE372" s="1">
        <v>979.54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16.127300000000002</v>
      </c>
      <c r="AP372" s="1">
        <v>2.257822</v>
      </c>
      <c r="AQ372" s="1">
        <v>808.38595999999995</v>
      </c>
      <c r="AR372" s="1">
        <v>808.38595999999995</v>
      </c>
      <c r="AS372" s="1">
        <v>202.09648999999999</v>
      </c>
      <c r="AT372" s="1">
        <v>28.293508599999999</v>
      </c>
      <c r="AU372" s="1">
        <v>0</v>
      </c>
      <c r="AV372" s="2" t="s">
        <v>69</v>
      </c>
      <c r="AW372" s="1">
        <v>672.78499999999997</v>
      </c>
      <c r="AX372" s="1">
        <f>Table1[[#This Row],[Original Commissionable GMV]]-Table1[[#This Row],[Commission ]]-Table1[[#This Row],[Commission VAT]]-Table1[[#This Row],[FreeDeliveryFund]]</f>
        <v>577.99596139999994</v>
      </c>
      <c r="AY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M372" s="2"/>
    </row>
    <row r="373" spans="12:65" x14ac:dyDescent="0.25">
      <c r="L373" s="2">
        <v>504016</v>
      </c>
      <c r="M373" s="2" t="s">
        <v>52</v>
      </c>
      <c r="N373" s="2">
        <v>505839</v>
      </c>
      <c r="O373" t="s">
        <v>53</v>
      </c>
      <c r="P373">
        <v>3399264875</v>
      </c>
      <c r="Q373" s="5">
        <v>46036.69902777778</v>
      </c>
      <c r="R373" s="2" t="s">
        <v>62</v>
      </c>
      <c r="S373" s="2" t="s">
        <v>51</v>
      </c>
      <c r="T373" s="2" t="s">
        <v>55</v>
      </c>
      <c r="U373" s="2" t="s">
        <v>56</v>
      </c>
      <c r="V373" s="2" t="s">
        <v>57</v>
      </c>
      <c r="W373" s="2" t="s">
        <v>58</v>
      </c>
      <c r="X373" s="2" t="s">
        <v>59</v>
      </c>
      <c r="Y373" s="1">
        <v>566.14</v>
      </c>
      <c r="Z373" s="1">
        <v>566.14</v>
      </c>
      <c r="AA373" s="1">
        <v>42.99</v>
      </c>
      <c r="AB373" s="1">
        <v>28.31</v>
      </c>
      <c r="AC373" s="1">
        <v>0</v>
      </c>
      <c r="AD373" s="1">
        <v>78.282110000000003</v>
      </c>
      <c r="AE373" s="1">
        <v>637.44000000000005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496.61403999999999</v>
      </c>
      <c r="AR373" s="1">
        <v>496.61403999999999</v>
      </c>
      <c r="AS373" s="1">
        <v>124.15351</v>
      </c>
      <c r="AT373" s="1">
        <v>17.381491400000002</v>
      </c>
      <c r="AU373" s="1">
        <v>0</v>
      </c>
      <c r="AV373" s="2" t="s">
        <v>69</v>
      </c>
      <c r="AW373" s="1">
        <v>424.60500000000002</v>
      </c>
      <c r="AX373" s="1">
        <f>Table1[[#This Row],[Original Commissionable GMV]]-Table1[[#This Row],[Commission ]]-Table1[[#This Row],[Commission VAT]]-Table1[[#This Row],[FreeDeliveryFund]]</f>
        <v>355.07903859999999</v>
      </c>
      <c r="AY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M373" s="2"/>
    </row>
    <row r="374" spans="12:65" x14ac:dyDescent="0.25">
      <c r="L374" s="2">
        <v>504016</v>
      </c>
      <c r="M374" s="2" t="s">
        <v>52</v>
      </c>
      <c r="N374" s="2">
        <v>505839</v>
      </c>
      <c r="O374" t="s">
        <v>63</v>
      </c>
      <c r="P374">
        <v>3399282578</v>
      </c>
      <c r="Q374" s="5">
        <v>46036.704791666663</v>
      </c>
      <c r="R374" s="2" t="s">
        <v>54</v>
      </c>
      <c r="S374" s="2" t="s">
        <v>51</v>
      </c>
      <c r="T374" s="2" t="s">
        <v>55</v>
      </c>
      <c r="U374" s="2" t="s">
        <v>56</v>
      </c>
      <c r="V374" s="2" t="s">
        <v>57</v>
      </c>
      <c r="W374" s="2" t="s">
        <v>58</v>
      </c>
      <c r="X374" s="2" t="s">
        <v>59</v>
      </c>
      <c r="Y374" s="1">
        <v>858.97</v>
      </c>
      <c r="Z374" s="1">
        <v>858.97</v>
      </c>
      <c r="AA374" s="1">
        <v>0</v>
      </c>
      <c r="AB374" s="1">
        <v>29.99</v>
      </c>
      <c r="AC374" s="1">
        <v>0</v>
      </c>
      <c r="AD374" s="1">
        <v>109.17053</v>
      </c>
      <c r="AE374" s="1">
        <v>888.96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15.031974999999999</v>
      </c>
      <c r="AP374" s="1">
        <v>2.1044765000000001</v>
      </c>
      <c r="AQ374" s="1">
        <v>753.48245999999995</v>
      </c>
      <c r="AR374" s="1">
        <v>753.48245999999995</v>
      </c>
      <c r="AS374" s="1">
        <v>188.37062</v>
      </c>
      <c r="AT374" s="1">
        <v>26.371886799999999</v>
      </c>
      <c r="AU374" s="1">
        <v>29.99</v>
      </c>
      <c r="AV374" s="2" t="s">
        <v>60</v>
      </c>
      <c r="AW374" s="1">
        <v>597.101</v>
      </c>
      <c r="AX374" s="1">
        <f>Table1[[#This Row],[Original Commissionable GMV]]-Table1[[#This Row],[Commission ]]-Table1[[#This Row],[Commission VAT]]-Table1[[#This Row],[FreeDeliveryFund]]</f>
        <v>508.74995319999994</v>
      </c>
      <c r="AY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M374" s="2"/>
    </row>
    <row r="375" spans="12:65" x14ac:dyDescent="0.25">
      <c r="L375" s="2">
        <v>504016</v>
      </c>
      <c r="M375" s="2" t="s">
        <v>52</v>
      </c>
      <c r="N375" s="2">
        <v>505837</v>
      </c>
      <c r="O375" t="s">
        <v>63</v>
      </c>
      <c r="P375">
        <v>3399295933</v>
      </c>
      <c r="Q375" s="5">
        <v>46036.709120370368</v>
      </c>
      <c r="R375" s="2" t="s">
        <v>54</v>
      </c>
      <c r="S375" s="2" t="s">
        <v>51</v>
      </c>
      <c r="T375" s="2" t="s">
        <v>55</v>
      </c>
      <c r="U375" s="2" t="s">
        <v>56</v>
      </c>
      <c r="V375" s="2" t="s">
        <v>57</v>
      </c>
      <c r="W375" s="2" t="s">
        <v>58</v>
      </c>
      <c r="X375" s="2" t="s">
        <v>59</v>
      </c>
      <c r="Y375" s="1">
        <v>1547.78</v>
      </c>
      <c r="Z375" s="1">
        <v>1547.78</v>
      </c>
      <c r="AA375" s="1">
        <v>28.99</v>
      </c>
      <c r="AB375" s="1">
        <v>29.99</v>
      </c>
      <c r="AC375" s="1">
        <v>0</v>
      </c>
      <c r="AD375" s="1">
        <v>197.32140000000001</v>
      </c>
      <c r="AE375" s="1">
        <v>1606.76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27.08615</v>
      </c>
      <c r="AP375" s="1">
        <v>3.7920609999999999</v>
      </c>
      <c r="AQ375" s="1">
        <v>1357.7017499999999</v>
      </c>
      <c r="AR375" s="1">
        <v>1357.7017499999999</v>
      </c>
      <c r="AS375" s="1">
        <v>339.42543999999998</v>
      </c>
      <c r="AT375" s="1">
        <v>47.519561600000003</v>
      </c>
      <c r="AU375" s="1">
        <v>0</v>
      </c>
      <c r="AV375" s="2" t="s">
        <v>69</v>
      </c>
      <c r="AW375" s="1">
        <v>1129.9570000000001</v>
      </c>
      <c r="AX375" s="1">
        <f>Table1[[#This Row],[Original Commissionable GMV]]-Table1[[#This Row],[Commission ]]-Table1[[#This Row],[Commission VAT]]-Table1[[#This Row],[FreeDeliveryFund]]</f>
        <v>970.75674839999999</v>
      </c>
      <c r="AY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M375" s="2"/>
    </row>
    <row r="376" spans="12:65" x14ac:dyDescent="0.25">
      <c r="L376" s="2">
        <v>504016</v>
      </c>
      <c r="M376" s="2" t="s">
        <v>52</v>
      </c>
      <c r="N376" s="2">
        <v>505839</v>
      </c>
      <c r="O376" t="s">
        <v>65</v>
      </c>
      <c r="P376">
        <v>3399389432</v>
      </c>
      <c r="Q376" s="5">
        <v>46036.737893518519</v>
      </c>
      <c r="R376" s="2" t="s">
        <v>54</v>
      </c>
      <c r="S376" s="2" t="s">
        <v>51</v>
      </c>
      <c r="T376" s="2" t="s">
        <v>55</v>
      </c>
      <c r="U376" s="2" t="s">
        <v>59</v>
      </c>
      <c r="V376" s="2" t="s">
        <v>57</v>
      </c>
      <c r="W376" s="2" t="s">
        <v>58</v>
      </c>
      <c r="X376" s="2" t="s">
        <v>59</v>
      </c>
      <c r="Y376" s="1">
        <v>518.01</v>
      </c>
      <c r="Z376" s="1">
        <v>549.51</v>
      </c>
      <c r="AA376" s="1">
        <v>7</v>
      </c>
      <c r="AB376" s="1">
        <v>27.48</v>
      </c>
      <c r="AC376" s="1">
        <v>0</v>
      </c>
      <c r="AD376" s="1">
        <v>71.718069999999997</v>
      </c>
      <c r="AE376" s="1">
        <v>552.49</v>
      </c>
      <c r="AG376" s="1">
        <v>0</v>
      </c>
      <c r="AH376" s="1">
        <v>31.5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9.065175</v>
      </c>
      <c r="AP376" s="1">
        <v>1.2691245</v>
      </c>
      <c r="AQ376" s="1">
        <v>454.39474000000001</v>
      </c>
      <c r="AR376" s="1">
        <v>454.39474000000001</v>
      </c>
      <c r="AS376" s="1">
        <v>113.59869</v>
      </c>
      <c r="AT376" s="1">
        <v>15.903816600000001</v>
      </c>
      <c r="AU376" s="1">
        <v>26.99</v>
      </c>
      <c r="AV376" s="2" t="s">
        <v>60</v>
      </c>
      <c r="AW376" s="1">
        <v>351.18299999999999</v>
      </c>
      <c r="AX376" s="1">
        <f>Table1[[#This Row],[Original Commissionable GMV]]-Table1[[#This Row],[Commission ]]-Table1[[#This Row],[Commission VAT]]-Table1[[#This Row],[FreeDeliveryFund]]</f>
        <v>297.9022334</v>
      </c>
      <c r="AY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M376" s="2"/>
    </row>
    <row r="377" spans="12:65" x14ac:dyDescent="0.25">
      <c r="L377" s="2">
        <v>504016</v>
      </c>
      <c r="M377" s="2" t="s">
        <v>52</v>
      </c>
      <c r="N377" s="2">
        <v>505839</v>
      </c>
      <c r="O377" t="s">
        <v>63</v>
      </c>
      <c r="P377">
        <v>3399427730</v>
      </c>
      <c r="Q377" s="5">
        <v>46036.749236111114</v>
      </c>
      <c r="R377" s="2" t="s">
        <v>54</v>
      </c>
      <c r="S377" s="2" t="s">
        <v>51</v>
      </c>
      <c r="T377" s="2" t="s">
        <v>55</v>
      </c>
      <c r="U377" s="2" t="s">
        <v>59</v>
      </c>
      <c r="V377" s="2" t="s">
        <v>57</v>
      </c>
      <c r="W377" s="2" t="s">
        <v>58</v>
      </c>
      <c r="X377" s="2" t="s">
        <v>59</v>
      </c>
      <c r="Y377" s="1">
        <v>984.98</v>
      </c>
      <c r="Z377" s="1">
        <v>984.98</v>
      </c>
      <c r="AA377" s="1">
        <v>35.99</v>
      </c>
      <c r="AB377" s="1">
        <v>29.99</v>
      </c>
      <c r="AC377" s="1">
        <v>0</v>
      </c>
      <c r="AD377" s="1">
        <v>129.06525999999999</v>
      </c>
      <c r="AE377" s="1">
        <v>1050.96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17.23715</v>
      </c>
      <c r="AP377" s="1">
        <v>2.4132009999999999</v>
      </c>
      <c r="AQ377" s="1">
        <v>864.01754000000005</v>
      </c>
      <c r="AR377" s="1">
        <v>864.01754000000005</v>
      </c>
      <c r="AS377" s="1">
        <v>216.00439</v>
      </c>
      <c r="AT377" s="1">
        <v>30.240614600000001</v>
      </c>
      <c r="AU377" s="1">
        <v>0</v>
      </c>
      <c r="AV377" s="2" t="s">
        <v>69</v>
      </c>
      <c r="AW377" s="1">
        <v>719.08500000000004</v>
      </c>
      <c r="AX377" s="1">
        <f>Table1[[#This Row],[Original Commissionable GMV]]-Table1[[#This Row],[Commission ]]-Table1[[#This Row],[Commission VAT]]-Table1[[#This Row],[FreeDeliveryFund]]</f>
        <v>617.77253540000004</v>
      </c>
      <c r="AY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M377" s="2"/>
    </row>
    <row r="378" spans="12:65" x14ac:dyDescent="0.25">
      <c r="L378" s="2">
        <v>504016</v>
      </c>
      <c r="M378" s="2" t="s">
        <v>52</v>
      </c>
      <c r="N378" s="2">
        <v>505839</v>
      </c>
      <c r="O378" t="s">
        <v>53</v>
      </c>
      <c r="P378">
        <v>3399482923</v>
      </c>
      <c r="Q378" s="5">
        <v>46036.764988425923</v>
      </c>
      <c r="R378" s="2" t="s">
        <v>54</v>
      </c>
      <c r="S378" s="2" t="s">
        <v>51</v>
      </c>
      <c r="T378" s="2" t="s">
        <v>55</v>
      </c>
      <c r="U378" s="2" t="s">
        <v>59</v>
      </c>
      <c r="V378" s="2" t="s">
        <v>57</v>
      </c>
      <c r="W378" s="2" t="s">
        <v>58</v>
      </c>
      <c r="X378" s="2" t="s">
        <v>59</v>
      </c>
      <c r="Y378" s="1">
        <v>659.98</v>
      </c>
      <c r="Z378" s="1">
        <v>659.98</v>
      </c>
      <c r="AA378" s="1">
        <v>0</v>
      </c>
      <c r="AB378" s="1">
        <v>29.99</v>
      </c>
      <c r="AC378" s="1">
        <v>0</v>
      </c>
      <c r="AD378" s="1">
        <v>84.733159999999998</v>
      </c>
      <c r="AE378" s="1">
        <v>689.97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11.54965</v>
      </c>
      <c r="AP378" s="1">
        <v>1.616951</v>
      </c>
      <c r="AQ378" s="1">
        <v>578.92981999999995</v>
      </c>
      <c r="AR378" s="1">
        <v>578.92981999999995</v>
      </c>
      <c r="AS378" s="1">
        <v>144.73246</v>
      </c>
      <c r="AT378" s="1">
        <v>20.262544399999999</v>
      </c>
      <c r="AU378" s="1">
        <v>0</v>
      </c>
      <c r="AV378" s="2" t="s">
        <v>69</v>
      </c>
      <c r="AW378" s="1">
        <v>481.81799999999998</v>
      </c>
      <c r="AX378" s="1">
        <f>Table1[[#This Row],[Original Commissionable GMV]]-Table1[[#This Row],[Commission ]]-Table1[[#This Row],[Commission VAT]]-Table1[[#This Row],[FreeDeliveryFund]]</f>
        <v>413.93481559999992</v>
      </c>
      <c r="AY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M378" s="2"/>
    </row>
    <row r="379" spans="12:65" x14ac:dyDescent="0.25">
      <c r="L379" s="2">
        <v>504016</v>
      </c>
      <c r="M379" s="2" t="s">
        <v>52</v>
      </c>
      <c r="N379" s="2">
        <v>505837</v>
      </c>
      <c r="O379" t="s">
        <v>53</v>
      </c>
      <c r="P379">
        <v>3399587197</v>
      </c>
      <c r="Q379" s="5">
        <v>46036.794305555559</v>
      </c>
      <c r="R379" s="2" t="s">
        <v>54</v>
      </c>
      <c r="S379" s="2" t="s">
        <v>51</v>
      </c>
      <c r="T379" s="2" t="s">
        <v>55</v>
      </c>
      <c r="U379" s="2" t="s">
        <v>59</v>
      </c>
      <c r="V379" s="2" t="s">
        <v>57</v>
      </c>
      <c r="W379" s="2" t="s">
        <v>58</v>
      </c>
      <c r="X379" s="2" t="s">
        <v>59</v>
      </c>
      <c r="Y379" s="1">
        <v>669.96</v>
      </c>
      <c r="Z379" s="1">
        <v>765.66</v>
      </c>
      <c r="AA379" s="1">
        <v>0</v>
      </c>
      <c r="AB379" s="1">
        <v>29.99</v>
      </c>
      <c r="AC379" s="1">
        <v>0</v>
      </c>
      <c r="AD379" s="1">
        <v>97.711399999999998</v>
      </c>
      <c r="AE379" s="1">
        <v>699.95</v>
      </c>
      <c r="AG379" s="1">
        <v>0</v>
      </c>
      <c r="AH379" s="1">
        <v>95.7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11.724299999999999</v>
      </c>
      <c r="AP379" s="1">
        <v>1.641402</v>
      </c>
      <c r="AQ379" s="1">
        <v>587.68421000000001</v>
      </c>
      <c r="AR379" s="1">
        <v>587.68421000000001</v>
      </c>
      <c r="AS379" s="1">
        <v>146.92105000000001</v>
      </c>
      <c r="AT379" s="1">
        <v>20.568947000000001</v>
      </c>
      <c r="AU379" s="1">
        <v>30.99</v>
      </c>
      <c r="AV379" s="2" t="s">
        <v>60</v>
      </c>
      <c r="AW379" s="1">
        <v>458.11399999999998</v>
      </c>
      <c r="AX379" s="1">
        <f>Table1[[#This Row],[Original Commissionable GMV]]-Table1[[#This Row],[Commission ]]-Table1[[#This Row],[Commission VAT]]-Table1[[#This Row],[FreeDeliveryFund]]</f>
        <v>389.20421299999998</v>
      </c>
      <c r="AY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M379" s="2"/>
    </row>
    <row r="380" spans="12:65" x14ac:dyDescent="0.25">
      <c r="L380" s="2">
        <v>504016</v>
      </c>
      <c r="M380" s="2" t="s">
        <v>52</v>
      </c>
      <c r="N380" s="2">
        <v>505837</v>
      </c>
      <c r="O380" t="s">
        <v>53</v>
      </c>
      <c r="P380">
        <v>3399589338</v>
      </c>
      <c r="Q380" s="5">
        <v>46036.794918981483</v>
      </c>
      <c r="R380" s="2" t="s">
        <v>54</v>
      </c>
      <c r="S380" s="2" t="s">
        <v>51</v>
      </c>
      <c r="T380" s="2" t="s">
        <v>55</v>
      </c>
      <c r="U380" s="2" t="s">
        <v>59</v>
      </c>
      <c r="V380" s="2" t="s">
        <v>57</v>
      </c>
      <c r="W380" s="2" t="s">
        <v>58</v>
      </c>
      <c r="X380" s="2" t="s">
        <v>59</v>
      </c>
      <c r="Y380" s="1">
        <v>445.99</v>
      </c>
      <c r="Z380" s="1">
        <v>445.99</v>
      </c>
      <c r="AA380" s="1">
        <v>34.99</v>
      </c>
      <c r="AB380" s="1">
        <v>22.3</v>
      </c>
      <c r="AC380" s="1">
        <v>0</v>
      </c>
      <c r="AD380" s="1">
        <v>61.806319999999999</v>
      </c>
      <c r="AE380" s="1">
        <v>503.28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7.8048250000000001</v>
      </c>
      <c r="AP380" s="1">
        <v>1.0926754999999999</v>
      </c>
      <c r="AQ380" s="1">
        <v>391.21929999999998</v>
      </c>
      <c r="AR380" s="1">
        <v>391.21929999999998</v>
      </c>
      <c r="AS380" s="1">
        <v>97.804829999999995</v>
      </c>
      <c r="AT380" s="1">
        <v>13.692676199999999</v>
      </c>
      <c r="AU380" s="1">
        <v>0</v>
      </c>
      <c r="AV380" s="2" t="s">
        <v>69</v>
      </c>
      <c r="AW380" s="1">
        <v>325.59500000000003</v>
      </c>
      <c r="AX380" s="1">
        <f>Table1[[#This Row],[Original Commissionable GMV]]-Table1[[#This Row],[Commission ]]-Table1[[#This Row],[Commission VAT]]-Table1[[#This Row],[FreeDeliveryFund]]</f>
        <v>279.7217938</v>
      </c>
      <c r="AY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M380" s="2"/>
    </row>
    <row r="381" spans="12:65" x14ac:dyDescent="0.25">
      <c r="L381" s="2">
        <v>504016</v>
      </c>
      <c r="M381" s="2" t="s">
        <v>52</v>
      </c>
      <c r="N381" s="2">
        <v>505837</v>
      </c>
      <c r="O381" t="s">
        <v>53</v>
      </c>
      <c r="P381">
        <v>3399657024</v>
      </c>
      <c r="Q381" s="5">
        <v>46036.814710648148</v>
      </c>
      <c r="R381" s="2" t="s">
        <v>54</v>
      </c>
      <c r="S381" s="2" t="s">
        <v>51</v>
      </c>
      <c r="T381" s="2" t="s">
        <v>55</v>
      </c>
      <c r="U381" s="2" t="s">
        <v>59</v>
      </c>
      <c r="V381" s="2" t="s">
        <v>57</v>
      </c>
      <c r="W381" s="2" t="s">
        <v>58</v>
      </c>
      <c r="X381" s="2" t="s">
        <v>59</v>
      </c>
      <c r="Y381" s="1">
        <v>1583.97</v>
      </c>
      <c r="Z381" s="1">
        <v>1583.97</v>
      </c>
      <c r="AA381" s="1">
        <v>0</v>
      </c>
      <c r="AB381" s="1">
        <v>29.99</v>
      </c>
      <c r="AC381" s="1">
        <v>0</v>
      </c>
      <c r="AD381" s="1">
        <v>198.20561000000001</v>
      </c>
      <c r="AE381" s="1">
        <v>1613.96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27.719474999999999</v>
      </c>
      <c r="AP381" s="1">
        <v>3.8807265000000002</v>
      </c>
      <c r="AQ381" s="1">
        <v>1389.4473700000001</v>
      </c>
      <c r="AR381" s="1">
        <v>1389.4473700000001</v>
      </c>
      <c r="AS381" s="1">
        <v>347.36183999999997</v>
      </c>
      <c r="AT381" s="1">
        <v>48.630657599999999</v>
      </c>
      <c r="AU381" s="1">
        <v>30.99</v>
      </c>
      <c r="AV381" s="2" t="s">
        <v>60</v>
      </c>
      <c r="AW381" s="1">
        <v>1125.3869999999999</v>
      </c>
      <c r="AX381" s="1">
        <f>Table1[[#This Row],[Original Commissionable GMV]]-Table1[[#This Row],[Commission ]]-Table1[[#This Row],[Commission VAT]]-Table1[[#This Row],[FreeDeliveryFund]]</f>
        <v>962.4648724000001</v>
      </c>
      <c r="AY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M381" s="2"/>
    </row>
    <row r="382" spans="12:65" x14ac:dyDescent="0.25">
      <c r="L382" s="2">
        <v>504016</v>
      </c>
      <c r="M382" s="2" t="s">
        <v>52</v>
      </c>
      <c r="N382" s="2">
        <v>505835</v>
      </c>
      <c r="O382" t="s">
        <v>63</v>
      </c>
      <c r="P382">
        <v>3399769994</v>
      </c>
      <c r="Q382" s="5">
        <v>46036.849988425929</v>
      </c>
      <c r="R382" s="2" t="s">
        <v>54</v>
      </c>
      <c r="S382" s="2" t="s">
        <v>51</v>
      </c>
      <c r="T382" s="2" t="s">
        <v>55</v>
      </c>
      <c r="U382" s="2" t="s">
        <v>56</v>
      </c>
      <c r="V382" s="2" t="s">
        <v>57</v>
      </c>
      <c r="W382" s="2" t="s">
        <v>58</v>
      </c>
      <c r="X382" s="2" t="s">
        <v>59</v>
      </c>
      <c r="Y382" s="1">
        <v>341.58</v>
      </c>
      <c r="Z382" s="1">
        <v>341.58</v>
      </c>
      <c r="AA382" s="1">
        <v>0</v>
      </c>
      <c r="AB382" s="1">
        <v>17.079999999999998</v>
      </c>
      <c r="AC382" s="1">
        <v>0</v>
      </c>
      <c r="AD382" s="1">
        <v>44.045960000000001</v>
      </c>
      <c r="AE382" s="1">
        <v>358.66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5.9776499999999997</v>
      </c>
      <c r="AP382" s="1">
        <v>0.83687100000000003</v>
      </c>
      <c r="AQ382" s="1">
        <v>299.63157999999999</v>
      </c>
      <c r="AR382" s="1">
        <v>299.63157999999999</v>
      </c>
      <c r="AS382" s="1">
        <v>74.907899999999998</v>
      </c>
      <c r="AT382" s="1">
        <v>10.487106000000001</v>
      </c>
      <c r="AU382" s="1">
        <v>30.99</v>
      </c>
      <c r="AV382" s="2" t="s">
        <v>60</v>
      </c>
      <c r="AW382" s="1">
        <v>218.38</v>
      </c>
      <c r="AX382" s="1">
        <f>Table1[[#This Row],[Original Commissionable GMV]]-Table1[[#This Row],[Commission ]]-Table1[[#This Row],[Commission VAT]]-Table1[[#This Row],[FreeDeliveryFund]]</f>
        <v>183.24657399999998</v>
      </c>
      <c r="AY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M382" s="2"/>
    </row>
    <row r="383" spans="12:65" x14ac:dyDescent="0.25">
      <c r="L383" s="2">
        <v>504016</v>
      </c>
      <c r="M383" s="2" t="s">
        <v>52</v>
      </c>
      <c r="N383" s="2">
        <v>505835</v>
      </c>
      <c r="O383" t="s">
        <v>65</v>
      </c>
      <c r="P383">
        <v>3399832649</v>
      </c>
      <c r="Q383" s="5">
        <v>46036.873136574075</v>
      </c>
      <c r="R383" s="2" t="s">
        <v>62</v>
      </c>
      <c r="S383" s="2" t="s">
        <v>51</v>
      </c>
      <c r="T383" s="2" t="s">
        <v>55</v>
      </c>
      <c r="U383" s="2" t="s">
        <v>56</v>
      </c>
      <c r="V383" s="2" t="s">
        <v>57</v>
      </c>
      <c r="W383" s="2" t="s">
        <v>58</v>
      </c>
      <c r="X383" s="2" t="s">
        <v>59</v>
      </c>
      <c r="Y383" s="1">
        <v>463.99</v>
      </c>
      <c r="Z383" s="1">
        <v>463.99</v>
      </c>
      <c r="AA383" s="1">
        <v>27.99</v>
      </c>
      <c r="AB383" s="1">
        <v>23.2</v>
      </c>
      <c r="AC383" s="1">
        <v>0</v>
      </c>
      <c r="AD383" s="1">
        <v>63.267719999999997</v>
      </c>
      <c r="AE383" s="1">
        <v>515.17999999999995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30</v>
      </c>
      <c r="AN383" s="1">
        <v>4.2</v>
      </c>
      <c r="AO383" s="1">
        <v>0</v>
      </c>
      <c r="AP383" s="1">
        <v>0</v>
      </c>
      <c r="AQ383" s="1">
        <v>407.00877000000003</v>
      </c>
      <c r="AR383" s="1">
        <v>407.00877000000003</v>
      </c>
      <c r="AS383" s="1">
        <v>101.75219</v>
      </c>
      <c r="AT383" s="1">
        <v>14.245306599999999</v>
      </c>
      <c r="AU383" s="1">
        <v>0</v>
      </c>
      <c r="AV383" s="2" t="s">
        <v>69</v>
      </c>
      <c r="AW383" s="1">
        <v>313.79300000000001</v>
      </c>
      <c r="AX383" s="1">
        <f>Table1[[#This Row],[Original Commissionable GMV]]-Table1[[#This Row],[Commission ]]-Table1[[#This Row],[Commission VAT]]-Table1[[#This Row],[FreeDeliveryFund]]</f>
        <v>291.01127340000005</v>
      </c>
      <c r="AY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M383" s="2"/>
    </row>
    <row r="384" spans="12:65" x14ac:dyDescent="0.25">
      <c r="L384" s="2">
        <v>504016</v>
      </c>
      <c r="M384" s="2" t="s">
        <v>52</v>
      </c>
      <c r="N384" s="2">
        <v>505837</v>
      </c>
      <c r="O384" t="s">
        <v>53</v>
      </c>
      <c r="P384">
        <v>3399895474</v>
      </c>
      <c r="Q384" s="5">
        <v>46036.897905092592</v>
      </c>
      <c r="R384" s="2" t="s">
        <v>62</v>
      </c>
      <c r="S384" s="2" t="s">
        <v>51</v>
      </c>
      <c r="T384" s="2" t="s">
        <v>55</v>
      </c>
      <c r="U384" s="2" t="s">
        <v>56</v>
      </c>
      <c r="V384" s="2" t="s">
        <v>57</v>
      </c>
      <c r="W384" s="2" t="s">
        <v>58</v>
      </c>
      <c r="X384" s="2" t="s">
        <v>59</v>
      </c>
      <c r="Y384" s="1">
        <v>244.99</v>
      </c>
      <c r="Z384" s="1">
        <v>244.99</v>
      </c>
      <c r="AA384" s="1">
        <v>32.99</v>
      </c>
      <c r="AB384" s="1">
        <v>12.25</v>
      </c>
      <c r="AC384" s="1">
        <v>0</v>
      </c>
      <c r="AD384" s="1">
        <v>27.04579</v>
      </c>
      <c r="AE384" s="1">
        <v>220.23</v>
      </c>
      <c r="AG384" s="1">
        <v>0</v>
      </c>
      <c r="AH384" s="1">
        <v>70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214.90351000000001</v>
      </c>
      <c r="AR384" s="1">
        <v>214.90351000000001</v>
      </c>
      <c r="AS384" s="1">
        <v>53.725879999999997</v>
      </c>
      <c r="AT384" s="1">
        <v>7.5216231999999996</v>
      </c>
      <c r="AU384" s="1">
        <v>0</v>
      </c>
      <c r="AV384" s="2" t="s">
        <v>69</v>
      </c>
      <c r="AW384" s="1">
        <v>183.74199999999999</v>
      </c>
      <c r="AX384" s="1">
        <f>Table1[[#This Row],[Original Commissionable GMV]]-Table1[[#This Row],[Commission ]]-Table1[[#This Row],[Commission VAT]]-Table1[[#This Row],[FreeDeliveryFund]]</f>
        <v>153.65600680000003</v>
      </c>
      <c r="AY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M384" s="2"/>
    </row>
    <row r="385" spans="12:65" x14ac:dyDescent="0.25">
      <c r="L385" s="2">
        <v>504016</v>
      </c>
      <c r="M385" s="2" t="s">
        <v>52</v>
      </c>
      <c r="N385" s="2">
        <v>505839</v>
      </c>
      <c r="O385" t="s">
        <v>53</v>
      </c>
      <c r="P385">
        <v>3400014502</v>
      </c>
      <c r="Q385" s="5">
        <v>46036.956157407411</v>
      </c>
      <c r="R385" s="2" t="s">
        <v>62</v>
      </c>
      <c r="S385" s="2" t="s">
        <v>51</v>
      </c>
      <c r="T385" s="2" t="s">
        <v>55</v>
      </c>
      <c r="U385" s="2" t="s">
        <v>59</v>
      </c>
      <c r="V385" s="2" t="s">
        <v>57</v>
      </c>
      <c r="W385" s="2" t="s">
        <v>58</v>
      </c>
      <c r="X385" s="2" t="s">
        <v>59</v>
      </c>
      <c r="Y385" s="1">
        <v>398.99</v>
      </c>
      <c r="Z385" s="1">
        <v>398.99</v>
      </c>
      <c r="AA385" s="1">
        <v>0</v>
      </c>
      <c r="AB385" s="1">
        <v>19.95</v>
      </c>
      <c r="AC385" s="1">
        <v>0</v>
      </c>
      <c r="AD385" s="1">
        <v>51.448770000000003</v>
      </c>
      <c r="AE385" s="1">
        <v>418.94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349.99122999999997</v>
      </c>
      <c r="AR385" s="1">
        <v>349.99122999999997</v>
      </c>
      <c r="AS385" s="1">
        <v>87.497810000000001</v>
      </c>
      <c r="AT385" s="1">
        <v>12.2496934</v>
      </c>
      <c r="AU385" s="1">
        <v>32.99</v>
      </c>
      <c r="AV385" s="2" t="s">
        <v>60</v>
      </c>
      <c r="AW385" s="1">
        <v>266.25200000000001</v>
      </c>
      <c r="AX385" s="1">
        <f>Table1[[#This Row],[Original Commissionable GMV]]-Table1[[#This Row],[Commission ]]-Table1[[#This Row],[Commission VAT]]-Table1[[#This Row],[FreeDeliveryFund]]</f>
        <v>217.25372659999994</v>
      </c>
      <c r="AY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M385" s="2"/>
    </row>
    <row r="386" spans="12:65" x14ac:dyDescent="0.25">
      <c r="L386" s="2">
        <v>504016</v>
      </c>
      <c r="M386" s="2" t="s">
        <v>52</v>
      </c>
      <c r="N386" s="2">
        <v>505839</v>
      </c>
      <c r="O386" t="s">
        <v>63</v>
      </c>
      <c r="P386">
        <v>3400546179</v>
      </c>
      <c r="Q386" s="5">
        <v>46037.496458333335</v>
      </c>
      <c r="R386" s="2" t="s">
        <v>62</v>
      </c>
      <c r="S386" s="2" t="s">
        <v>51</v>
      </c>
      <c r="T386" s="2" t="s">
        <v>55</v>
      </c>
      <c r="U386" s="2" t="s">
        <v>56</v>
      </c>
      <c r="V386" s="2" t="s">
        <v>57</v>
      </c>
      <c r="W386" s="2" t="s">
        <v>58</v>
      </c>
      <c r="X386" s="2" t="s">
        <v>59</v>
      </c>
      <c r="Y386" s="1">
        <v>329</v>
      </c>
      <c r="Z386" s="1">
        <v>329</v>
      </c>
      <c r="AA386" s="1">
        <v>28.99</v>
      </c>
      <c r="AB386" s="1">
        <v>16.45</v>
      </c>
      <c r="AC386" s="1">
        <v>0</v>
      </c>
      <c r="AD386" s="1">
        <v>45.98386</v>
      </c>
      <c r="AE386" s="1">
        <v>374.44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60</v>
      </c>
      <c r="AM386" s="1">
        <v>0</v>
      </c>
      <c r="AN386" s="1">
        <v>0</v>
      </c>
      <c r="AO386" s="1">
        <v>0</v>
      </c>
      <c r="AP386" s="1">
        <v>0</v>
      </c>
      <c r="AQ386" s="1">
        <v>288.59649000000002</v>
      </c>
      <c r="AR386" s="1">
        <v>288.59649000000002</v>
      </c>
      <c r="AS386" s="1">
        <v>72.149119999999996</v>
      </c>
      <c r="AT386" s="1">
        <v>10.1008768</v>
      </c>
      <c r="AU386" s="1">
        <v>0</v>
      </c>
      <c r="AV386" s="2" t="s">
        <v>69</v>
      </c>
      <c r="AW386" s="1">
        <v>246.75</v>
      </c>
      <c r="AX386" s="1">
        <f>Table1[[#This Row],[Original Commissionable GMV]]-Table1[[#This Row],[Commission ]]-Table1[[#This Row],[Commission VAT]]-Table1[[#This Row],[FreeDeliveryFund]]</f>
        <v>206.34649320000003</v>
      </c>
      <c r="AY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M386" s="2"/>
    </row>
    <row r="387" spans="12:65" x14ac:dyDescent="0.25">
      <c r="L387" s="2">
        <v>504016</v>
      </c>
      <c r="M387" s="2" t="s">
        <v>52</v>
      </c>
      <c r="N387" s="2">
        <v>505837</v>
      </c>
      <c r="O387" t="s">
        <v>53</v>
      </c>
      <c r="P387">
        <v>3400929858</v>
      </c>
      <c r="Q387" s="5">
        <v>46037.649629629632</v>
      </c>
      <c r="R387" s="2" t="s">
        <v>54</v>
      </c>
      <c r="S387" s="2" t="s">
        <v>51</v>
      </c>
      <c r="T387" s="2" t="s">
        <v>55</v>
      </c>
      <c r="U387" s="2" t="s">
        <v>56</v>
      </c>
      <c r="V387" s="2" t="s">
        <v>57</v>
      </c>
      <c r="W387" s="2" t="s">
        <v>58</v>
      </c>
      <c r="X387" s="2" t="s">
        <v>59</v>
      </c>
      <c r="Y387" s="1">
        <v>246.98</v>
      </c>
      <c r="Z387" s="1">
        <v>246.98</v>
      </c>
      <c r="AA387" s="1">
        <v>30.99</v>
      </c>
      <c r="AB387" s="1">
        <v>12.35</v>
      </c>
      <c r="AC387" s="1">
        <v>0</v>
      </c>
      <c r="AD387" s="1">
        <v>35.653329999999997</v>
      </c>
      <c r="AE387" s="1">
        <v>290.32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30</v>
      </c>
      <c r="AN387" s="1">
        <v>4.2</v>
      </c>
      <c r="AO387" s="1">
        <v>4.3221499999999997</v>
      </c>
      <c r="AP387" s="1">
        <v>0.605101</v>
      </c>
      <c r="AQ387" s="1">
        <v>216.64912000000001</v>
      </c>
      <c r="AR387" s="1">
        <v>216.64912000000001</v>
      </c>
      <c r="AS387" s="1">
        <v>54.162280000000003</v>
      </c>
      <c r="AT387" s="1">
        <v>7.5827191999999997</v>
      </c>
      <c r="AU387" s="1">
        <v>0</v>
      </c>
      <c r="AV387" s="2" t="s">
        <v>69</v>
      </c>
      <c r="AW387" s="1">
        <v>146.108</v>
      </c>
      <c r="AX387" s="1">
        <f>Table1[[#This Row],[Original Commissionable GMV]]-Table1[[#This Row],[Commission ]]-Table1[[#This Row],[Commission VAT]]-Table1[[#This Row],[FreeDeliveryFund]]</f>
        <v>154.90412079999999</v>
      </c>
      <c r="AY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M387" s="2"/>
    </row>
    <row r="388" spans="12:65" x14ac:dyDescent="0.25">
      <c r="L388" s="2">
        <v>504016</v>
      </c>
      <c r="M388" s="2" t="s">
        <v>52</v>
      </c>
      <c r="N388" s="2">
        <v>505837</v>
      </c>
      <c r="O388" t="s">
        <v>53</v>
      </c>
      <c r="P388">
        <v>3400934706</v>
      </c>
      <c r="Q388" s="5">
        <v>46037.651354166665</v>
      </c>
      <c r="R388" s="2" t="s">
        <v>54</v>
      </c>
      <c r="S388" s="2" t="s">
        <v>51</v>
      </c>
      <c r="T388" s="2" t="s">
        <v>55</v>
      </c>
      <c r="U388" s="2" t="s">
        <v>59</v>
      </c>
      <c r="V388" s="2" t="s">
        <v>57</v>
      </c>
      <c r="W388" s="2" t="s">
        <v>58</v>
      </c>
      <c r="X388" s="2" t="s">
        <v>59</v>
      </c>
      <c r="Y388" s="1">
        <v>445.99</v>
      </c>
      <c r="Z388" s="1">
        <v>445.99</v>
      </c>
      <c r="AA388" s="1">
        <v>0</v>
      </c>
      <c r="AB388" s="1">
        <v>22.3</v>
      </c>
      <c r="AC388" s="1">
        <v>0</v>
      </c>
      <c r="AD388" s="1">
        <v>57.509300000000003</v>
      </c>
      <c r="AE388" s="1">
        <v>468.29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152.85</v>
      </c>
      <c r="AM388" s="1">
        <v>30</v>
      </c>
      <c r="AN388" s="1">
        <v>4.2</v>
      </c>
      <c r="AO388" s="1">
        <v>7.8048250000000001</v>
      </c>
      <c r="AP388" s="1">
        <v>1.0926754999999999</v>
      </c>
      <c r="AQ388" s="1">
        <v>391.21929999999998</v>
      </c>
      <c r="AR388" s="1">
        <v>391.21929999999998</v>
      </c>
      <c r="AS388" s="1">
        <v>97.804829999999995</v>
      </c>
      <c r="AT388" s="1">
        <v>13.692676199999999</v>
      </c>
      <c r="AU388" s="1">
        <v>34.99</v>
      </c>
      <c r="AV388" s="2" t="s">
        <v>60</v>
      </c>
      <c r="AW388" s="1">
        <v>256.40499999999997</v>
      </c>
      <c r="AX388" s="1">
        <f>Table1[[#This Row],[Original Commissionable GMV]]-Table1[[#This Row],[Commission ]]-Table1[[#This Row],[Commission VAT]]-Table1[[#This Row],[FreeDeliveryFund]]</f>
        <v>244.73179379999999</v>
      </c>
      <c r="AY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M388" s="2"/>
    </row>
    <row r="389" spans="12:65" x14ac:dyDescent="0.25">
      <c r="L389" s="2">
        <v>504016</v>
      </c>
      <c r="M389" s="2" t="s">
        <v>52</v>
      </c>
      <c r="N389" s="2">
        <v>505839</v>
      </c>
      <c r="O389" t="s">
        <v>53</v>
      </c>
      <c r="P389">
        <v>3400935736</v>
      </c>
      <c r="Q389" s="5">
        <v>46037.651712962965</v>
      </c>
      <c r="R389" s="2" t="s">
        <v>62</v>
      </c>
      <c r="S389" s="2" t="s">
        <v>51</v>
      </c>
      <c r="T389" s="2" t="s">
        <v>55</v>
      </c>
      <c r="U389" s="2" t="s">
        <v>56</v>
      </c>
      <c r="V389" s="2" t="s">
        <v>57</v>
      </c>
      <c r="W389" s="2" t="s">
        <v>58</v>
      </c>
      <c r="X389" s="2" t="s">
        <v>59</v>
      </c>
      <c r="Y389" s="1">
        <v>582.98</v>
      </c>
      <c r="Z389" s="1">
        <v>582.98</v>
      </c>
      <c r="AA389" s="1">
        <v>44.99</v>
      </c>
      <c r="AB389" s="1">
        <v>29.15</v>
      </c>
      <c r="AC389" s="1">
        <v>0</v>
      </c>
      <c r="AD389" s="1">
        <v>80.698949999999996</v>
      </c>
      <c r="AE389" s="1">
        <v>657.12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30</v>
      </c>
      <c r="AN389" s="1">
        <v>4.2</v>
      </c>
      <c r="AO389" s="1">
        <v>0</v>
      </c>
      <c r="AP389" s="1">
        <v>0</v>
      </c>
      <c r="AQ389" s="1">
        <v>511.38596000000001</v>
      </c>
      <c r="AR389" s="1">
        <v>511.38596000000001</v>
      </c>
      <c r="AS389" s="1">
        <v>127.84649</v>
      </c>
      <c r="AT389" s="1">
        <v>17.8985086</v>
      </c>
      <c r="AU389" s="1">
        <v>0</v>
      </c>
      <c r="AV389" s="2" t="s">
        <v>69</v>
      </c>
      <c r="AW389" s="1">
        <v>403.03500000000003</v>
      </c>
      <c r="AX389" s="1">
        <f>Table1[[#This Row],[Original Commissionable GMV]]-Table1[[#This Row],[Commission ]]-Table1[[#This Row],[Commission VAT]]-Table1[[#This Row],[FreeDeliveryFund]]</f>
        <v>365.64096139999998</v>
      </c>
      <c r="AY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M389" s="2"/>
    </row>
    <row r="390" spans="12:65" x14ac:dyDescent="0.25">
      <c r="L390" s="2">
        <v>504016</v>
      </c>
      <c r="M390" s="2" t="s">
        <v>52</v>
      </c>
      <c r="N390" s="2">
        <v>505837</v>
      </c>
      <c r="O390" t="s">
        <v>53</v>
      </c>
      <c r="P390">
        <v>3400940491</v>
      </c>
      <c r="Q390" s="5">
        <v>46037.653437499997</v>
      </c>
      <c r="R390" s="2" t="s">
        <v>54</v>
      </c>
      <c r="S390" s="2" t="s">
        <v>51</v>
      </c>
      <c r="T390" s="2" t="s">
        <v>55</v>
      </c>
      <c r="U390" s="2" t="s">
        <v>56</v>
      </c>
      <c r="V390" s="2" t="s">
        <v>57</v>
      </c>
      <c r="W390" s="2" t="s">
        <v>58</v>
      </c>
      <c r="X390" s="2" t="s">
        <v>59</v>
      </c>
      <c r="Y390" s="1">
        <v>1776.95</v>
      </c>
      <c r="Z390" s="1">
        <v>1776.95</v>
      </c>
      <c r="AA390" s="1">
        <v>0</v>
      </c>
      <c r="AB390" s="1">
        <v>29.99</v>
      </c>
      <c r="AC390" s="1">
        <v>0</v>
      </c>
      <c r="AD390" s="1">
        <v>221.90491</v>
      </c>
      <c r="AE390" s="1">
        <v>1806.94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31.09662325</v>
      </c>
      <c r="AP390" s="1">
        <v>4.3535272550000004</v>
      </c>
      <c r="AQ390" s="1">
        <v>1558.7280699999999</v>
      </c>
      <c r="AR390" s="1">
        <v>1558.7280699999999</v>
      </c>
      <c r="AS390" s="1">
        <v>389.68202000000002</v>
      </c>
      <c r="AT390" s="1">
        <v>54.5554828</v>
      </c>
      <c r="AU390" s="1">
        <v>31.99</v>
      </c>
      <c r="AV390" s="2" t="s">
        <v>60</v>
      </c>
      <c r="AW390" s="1">
        <v>1265.2719999999999</v>
      </c>
      <c r="AX390" s="1">
        <f>Table1[[#This Row],[Original Commissionable GMV]]-Table1[[#This Row],[Commission ]]-Table1[[#This Row],[Commission VAT]]-Table1[[#This Row],[FreeDeliveryFund]]</f>
        <v>1082.5005672</v>
      </c>
      <c r="AY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M390" s="2"/>
    </row>
    <row r="391" spans="12:65" x14ac:dyDescent="0.25">
      <c r="L391" s="2">
        <v>504016</v>
      </c>
      <c r="M391" s="2" t="s">
        <v>52</v>
      </c>
      <c r="N391" s="2">
        <v>505837</v>
      </c>
      <c r="O391" t="s">
        <v>63</v>
      </c>
      <c r="P391">
        <v>3400966975</v>
      </c>
      <c r="Q391" s="5">
        <v>46037.66302083333</v>
      </c>
      <c r="R391" s="2" t="s">
        <v>54</v>
      </c>
      <c r="S391" s="2" t="s">
        <v>51</v>
      </c>
      <c r="T391" s="2" t="s">
        <v>55</v>
      </c>
      <c r="U391" s="2" t="s">
        <v>59</v>
      </c>
      <c r="V391" s="2" t="s">
        <v>57</v>
      </c>
      <c r="W391" s="2" t="s">
        <v>58</v>
      </c>
      <c r="X391" s="2" t="s">
        <v>59</v>
      </c>
      <c r="Y391" s="1">
        <v>328.98</v>
      </c>
      <c r="Z391" s="1">
        <v>328.98</v>
      </c>
      <c r="AA391" s="1">
        <v>7</v>
      </c>
      <c r="AB391" s="1">
        <v>16.45</v>
      </c>
      <c r="AC391" s="1">
        <v>0</v>
      </c>
      <c r="AD391" s="1">
        <v>43.280880000000003</v>
      </c>
      <c r="AE391" s="1">
        <v>352.43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5.7571500000000002</v>
      </c>
      <c r="AP391" s="1">
        <v>0.80600099999999997</v>
      </c>
      <c r="AQ391" s="1">
        <v>288.57895000000002</v>
      </c>
      <c r="AR391" s="1">
        <v>288.57895000000002</v>
      </c>
      <c r="AS391" s="1">
        <v>72.144739999999999</v>
      </c>
      <c r="AT391" s="1">
        <v>10.1002636</v>
      </c>
      <c r="AU391" s="1">
        <v>26.99</v>
      </c>
      <c r="AV391" s="2" t="s">
        <v>60</v>
      </c>
      <c r="AW391" s="1">
        <v>213.18199999999999</v>
      </c>
      <c r="AX391" s="1">
        <f>Table1[[#This Row],[Original Commissionable GMV]]-Table1[[#This Row],[Commission ]]-Table1[[#This Row],[Commission VAT]]-Table1[[#This Row],[FreeDeliveryFund]]</f>
        <v>179.34394639999999</v>
      </c>
      <c r="AY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M391" s="2"/>
    </row>
    <row r="392" spans="12:65" x14ac:dyDescent="0.25">
      <c r="L392" s="2">
        <v>504016</v>
      </c>
      <c r="M392" s="2" t="s">
        <v>52</v>
      </c>
      <c r="N392" s="2">
        <v>505839</v>
      </c>
      <c r="O392" t="s">
        <v>63</v>
      </c>
      <c r="P392">
        <v>3400997943</v>
      </c>
      <c r="Q392" s="5">
        <v>46037.67396990741</v>
      </c>
      <c r="R392" s="2" t="s">
        <v>54</v>
      </c>
      <c r="S392" s="2" t="s">
        <v>51</v>
      </c>
      <c r="T392" s="2" t="s">
        <v>55</v>
      </c>
      <c r="U392" s="2" t="s">
        <v>56</v>
      </c>
      <c r="V392" s="2" t="s">
        <v>57</v>
      </c>
      <c r="W392" s="2" t="s">
        <v>58</v>
      </c>
      <c r="X392" s="2" t="s">
        <v>59</v>
      </c>
      <c r="Y392" s="1">
        <v>639.98</v>
      </c>
      <c r="Z392" s="1">
        <v>639.98</v>
      </c>
      <c r="AA392" s="1">
        <v>26.99</v>
      </c>
      <c r="AB392" s="1">
        <v>29.99</v>
      </c>
      <c r="AC392" s="1">
        <v>0</v>
      </c>
      <c r="AD392" s="1">
        <v>85.591579999999993</v>
      </c>
      <c r="AE392" s="1">
        <v>696.96</v>
      </c>
      <c r="AG392" s="1">
        <v>0</v>
      </c>
      <c r="AH392" s="1">
        <v>0</v>
      </c>
      <c r="AI392" s="1">
        <v>0</v>
      </c>
      <c r="AJ392" s="1">
        <v>80</v>
      </c>
      <c r="AK392" s="1">
        <v>0</v>
      </c>
      <c r="AL392" s="1">
        <v>0</v>
      </c>
      <c r="AM392" s="1">
        <v>0</v>
      </c>
      <c r="AN392" s="1">
        <v>0</v>
      </c>
      <c r="AO392" s="1">
        <v>11.19965</v>
      </c>
      <c r="AP392" s="1">
        <v>1.5679510000000001</v>
      </c>
      <c r="AQ392" s="1">
        <v>561.38595999999995</v>
      </c>
      <c r="AR392" s="1">
        <v>561.38595999999995</v>
      </c>
      <c r="AS392" s="1">
        <v>140.34648999999999</v>
      </c>
      <c r="AT392" s="1">
        <v>19.6485086</v>
      </c>
      <c r="AU392" s="1">
        <v>0</v>
      </c>
      <c r="AV392" s="2" t="s">
        <v>69</v>
      </c>
      <c r="AW392" s="1">
        <v>467.21699999999998</v>
      </c>
      <c r="AX392" s="1">
        <f>Table1[[#This Row],[Original Commissionable GMV]]-Table1[[#This Row],[Commission ]]-Table1[[#This Row],[Commission VAT]]-Table1[[#This Row],[FreeDeliveryFund]]</f>
        <v>401.39096139999992</v>
      </c>
      <c r="AY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M392" s="2"/>
    </row>
    <row r="393" spans="12:65" x14ac:dyDescent="0.25">
      <c r="L393" s="2">
        <v>504016</v>
      </c>
      <c r="M393" s="2" t="s">
        <v>52</v>
      </c>
      <c r="N393" s="2">
        <v>505839</v>
      </c>
      <c r="O393" t="s">
        <v>63</v>
      </c>
      <c r="P393">
        <v>3401018630</v>
      </c>
      <c r="Q393" s="5">
        <v>46037.680995370371</v>
      </c>
      <c r="R393" s="2" t="s">
        <v>54</v>
      </c>
      <c r="S393" s="2" t="s">
        <v>51</v>
      </c>
      <c r="T393" s="2" t="s">
        <v>55</v>
      </c>
      <c r="U393" s="2" t="s">
        <v>59</v>
      </c>
      <c r="V393" s="2" t="s">
        <v>57</v>
      </c>
      <c r="W393" s="2" t="s">
        <v>58</v>
      </c>
      <c r="X393" s="2" t="s">
        <v>59</v>
      </c>
      <c r="Y393" s="1">
        <v>432.94</v>
      </c>
      <c r="Z393" s="1">
        <v>432.94</v>
      </c>
      <c r="AA393" s="1">
        <v>0</v>
      </c>
      <c r="AB393" s="1">
        <v>21.65</v>
      </c>
      <c r="AC393" s="1">
        <v>0</v>
      </c>
      <c r="AD393" s="1">
        <v>55.826839999999997</v>
      </c>
      <c r="AE393" s="1">
        <v>454.59</v>
      </c>
      <c r="AG393" s="1">
        <v>0</v>
      </c>
      <c r="AH393" s="1">
        <v>0</v>
      </c>
      <c r="AI393" s="1">
        <v>0</v>
      </c>
      <c r="AJ393" s="1">
        <v>150</v>
      </c>
      <c r="AK393" s="1">
        <v>0</v>
      </c>
      <c r="AL393" s="1">
        <v>0</v>
      </c>
      <c r="AM393" s="1">
        <v>0</v>
      </c>
      <c r="AN393" s="1">
        <v>0</v>
      </c>
      <c r="AO393" s="1">
        <v>7.5764500000000004</v>
      </c>
      <c r="AP393" s="1">
        <v>1.060703</v>
      </c>
      <c r="AQ393" s="1">
        <v>379.77193</v>
      </c>
      <c r="AR393" s="1">
        <v>379.77193</v>
      </c>
      <c r="AS393" s="1">
        <v>94.942980000000006</v>
      </c>
      <c r="AT393" s="1">
        <v>13.2920172</v>
      </c>
      <c r="AU393" s="1">
        <v>29.99</v>
      </c>
      <c r="AV393" s="2" t="s">
        <v>60</v>
      </c>
      <c r="AW393" s="1">
        <v>286.07799999999997</v>
      </c>
      <c r="AX393" s="1">
        <f>Table1[[#This Row],[Original Commissionable GMV]]-Table1[[#This Row],[Commission ]]-Table1[[#This Row],[Commission VAT]]-Table1[[#This Row],[FreeDeliveryFund]]</f>
        <v>241.54693279999998</v>
      </c>
      <c r="AY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M393" s="2"/>
    </row>
    <row r="394" spans="12:65" x14ac:dyDescent="0.25">
      <c r="L394" s="2">
        <v>504016</v>
      </c>
      <c r="M394" s="2" t="s">
        <v>52</v>
      </c>
      <c r="N394" s="2">
        <v>505837</v>
      </c>
      <c r="O394" t="s">
        <v>53</v>
      </c>
      <c r="P394">
        <v>3401051353</v>
      </c>
      <c r="Q394" s="5">
        <v>46037.691655092596</v>
      </c>
      <c r="R394" s="2" t="s">
        <v>54</v>
      </c>
      <c r="S394" s="2" t="s">
        <v>51</v>
      </c>
      <c r="T394" s="2" t="s">
        <v>55</v>
      </c>
      <c r="U394" s="2" t="s">
        <v>59</v>
      </c>
      <c r="V394" s="2" t="s">
        <v>57</v>
      </c>
      <c r="W394" s="2" t="s">
        <v>58</v>
      </c>
      <c r="X394" s="2" t="s">
        <v>59</v>
      </c>
      <c r="Y394" s="1">
        <v>475.98</v>
      </c>
      <c r="Z394" s="1">
        <v>475.98</v>
      </c>
      <c r="AA394" s="1">
        <v>9</v>
      </c>
      <c r="AB394" s="1">
        <v>23.8</v>
      </c>
      <c r="AC394" s="1">
        <v>0</v>
      </c>
      <c r="AD394" s="1">
        <v>62.481749999999998</v>
      </c>
      <c r="AE394" s="1">
        <v>508.78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8.3296500000000009</v>
      </c>
      <c r="AP394" s="1">
        <v>1.1661509999999999</v>
      </c>
      <c r="AQ394" s="1">
        <v>417.52632</v>
      </c>
      <c r="AR394" s="1">
        <v>417.52632</v>
      </c>
      <c r="AS394" s="1">
        <v>104.38158</v>
      </c>
      <c r="AT394" s="1">
        <v>14.613421199999999</v>
      </c>
      <c r="AU394" s="1">
        <v>30.99</v>
      </c>
      <c r="AV394" s="2" t="s">
        <v>60</v>
      </c>
      <c r="AW394" s="1">
        <v>316.49900000000002</v>
      </c>
      <c r="AX394" s="1">
        <f>Table1[[#This Row],[Original Commissionable GMV]]-Table1[[#This Row],[Commission ]]-Table1[[#This Row],[Commission VAT]]-Table1[[#This Row],[FreeDeliveryFund]]</f>
        <v>267.5413188</v>
      </c>
      <c r="AY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M394" s="2"/>
    </row>
    <row r="395" spans="12:65" x14ac:dyDescent="0.25">
      <c r="L395" s="2">
        <v>504016</v>
      </c>
      <c r="M395" s="2" t="s">
        <v>52</v>
      </c>
      <c r="N395" s="2">
        <v>505837</v>
      </c>
      <c r="O395" t="s">
        <v>63</v>
      </c>
      <c r="P395">
        <v>3401057993</v>
      </c>
      <c r="Q395" s="5">
        <v>46037.693796296298</v>
      </c>
      <c r="R395" s="2" t="s">
        <v>54</v>
      </c>
      <c r="S395" s="2" t="s">
        <v>51</v>
      </c>
      <c r="T395" s="2" t="s">
        <v>55</v>
      </c>
      <c r="U395" s="2" t="s">
        <v>56</v>
      </c>
      <c r="V395" s="2" t="s">
        <v>57</v>
      </c>
      <c r="W395" s="2" t="s">
        <v>58</v>
      </c>
      <c r="X395" s="2" t="s">
        <v>59</v>
      </c>
      <c r="Y395" s="1">
        <v>919.98</v>
      </c>
      <c r="Z395" s="1">
        <v>919.98</v>
      </c>
      <c r="AA395" s="1">
        <v>0</v>
      </c>
      <c r="AB395" s="1">
        <v>29.99</v>
      </c>
      <c r="AC395" s="1">
        <v>0</v>
      </c>
      <c r="AD395" s="1">
        <v>116.66298</v>
      </c>
      <c r="AE395" s="1">
        <v>949.97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16.09965</v>
      </c>
      <c r="AP395" s="1">
        <v>2.2539509999999998</v>
      </c>
      <c r="AQ395" s="1">
        <v>807</v>
      </c>
      <c r="AR395" s="1">
        <v>807</v>
      </c>
      <c r="AS395" s="1">
        <v>201.75</v>
      </c>
      <c r="AT395" s="1">
        <v>28.245000000000001</v>
      </c>
      <c r="AU395" s="1">
        <v>29.99</v>
      </c>
      <c r="AV395" s="2" t="s">
        <v>60</v>
      </c>
      <c r="AW395" s="1">
        <v>641.64099999999996</v>
      </c>
      <c r="AX395" s="1">
        <f>Table1[[#This Row],[Original Commissionable GMV]]-Table1[[#This Row],[Commission ]]-Table1[[#This Row],[Commission VAT]]-Table1[[#This Row],[FreeDeliveryFund]]</f>
        <v>547.01499999999999</v>
      </c>
      <c r="AY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M395" s="2"/>
    </row>
    <row r="396" spans="12:65" x14ac:dyDescent="0.25">
      <c r="L396" s="2">
        <v>504016</v>
      </c>
      <c r="M396" s="2" t="s">
        <v>52</v>
      </c>
      <c r="N396" s="2">
        <v>505837</v>
      </c>
      <c r="O396" t="s">
        <v>63</v>
      </c>
      <c r="P396">
        <v>3401084016</v>
      </c>
      <c r="Q396" s="5">
        <v>46037.702048611114</v>
      </c>
      <c r="R396" s="2" t="s">
        <v>66</v>
      </c>
      <c r="S396" s="2" t="s">
        <v>51</v>
      </c>
      <c r="T396" s="2" t="s">
        <v>55</v>
      </c>
      <c r="U396" s="2" t="s">
        <v>56</v>
      </c>
      <c r="V396" s="2" t="s">
        <v>57</v>
      </c>
      <c r="W396" s="2" t="s">
        <v>58</v>
      </c>
      <c r="X396" s="2" t="s">
        <v>59</v>
      </c>
      <c r="Y396" s="1">
        <v>1655.96</v>
      </c>
      <c r="Z396" s="1">
        <v>1655.96</v>
      </c>
      <c r="AA396" s="1">
        <v>0</v>
      </c>
      <c r="AB396" s="1">
        <v>29.99</v>
      </c>
      <c r="AC396" s="1">
        <v>0</v>
      </c>
      <c r="AD396" s="1">
        <v>207.04649000000001</v>
      </c>
      <c r="AE396" s="1">
        <v>1685.95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28.979299999999999</v>
      </c>
      <c r="AP396" s="1">
        <v>4.0571020000000004</v>
      </c>
      <c r="AQ396" s="1">
        <v>1452.5964899999999</v>
      </c>
      <c r="AR396" s="1">
        <v>1452.5964899999999</v>
      </c>
      <c r="AS396" s="1">
        <v>363.14911999999998</v>
      </c>
      <c r="AT396" s="1">
        <v>50.840876799999997</v>
      </c>
      <c r="AU396" s="1">
        <v>28.99</v>
      </c>
      <c r="AV396" s="2" t="s">
        <v>60</v>
      </c>
      <c r="AW396" s="1">
        <v>1179.944</v>
      </c>
      <c r="AX396" s="1">
        <f>Table1[[#This Row],[Original Commissionable GMV]]-Table1[[#This Row],[Commission ]]-Table1[[#This Row],[Commission VAT]]-Table1[[#This Row],[FreeDeliveryFund]]</f>
        <v>1009.6164931999999</v>
      </c>
      <c r="AY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M396" s="2"/>
    </row>
    <row r="397" spans="12:65" x14ac:dyDescent="0.25">
      <c r="L397" s="2">
        <v>504016</v>
      </c>
      <c r="M397" s="2" t="s">
        <v>52</v>
      </c>
      <c r="N397" s="2">
        <v>505839</v>
      </c>
      <c r="O397" t="s">
        <v>53</v>
      </c>
      <c r="P397">
        <v>3401097143</v>
      </c>
      <c r="Q397" s="5">
        <v>46037.706180555557</v>
      </c>
      <c r="R397" s="2" t="s">
        <v>54</v>
      </c>
      <c r="S397" s="2" t="s">
        <v>51</v>
      </c>
      <c r="T397" s="2" t="s">
        <v>55</v>
      </c>
      <c r="U397" s="2" t="s">
        <v>59</v>
      </c>
      <c r="V397" s="2" t="s">
        <v>57</v>
      </c>
      <c r="W397" s="2" t="s">
        <v>58</v>
      </c>
      <c r="X397" s="2" t="s">
        <v>59</v>
      </c>
      <c r="Y397" s="1">
        <v>481.64</v>
      </c>
      <c r="Z397" s="1">
        <v>481.64</v>
      </c>
      <c r="AA397" s="1">
        <v>9</v>
      </c>
      <c r="AB397" s="1">
        <v>24.08</v>
      </c>
      <c r="AC397" s="1">
        <v>0</v>
      </c>
      <c r="AD397" s="1">
        <v>63.21123</v>
      </c>
      <c r="AE397" s="1">
        <v>514.72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8.4286999999999992</v>
      </c>
      <c r="AP397" s="1">
        <v>1.180018</v>
      </c>
      <c r="AQ397" s="1">
        <v>422.49122999999997</v>
      </c>
      <c r="AR397" s="1">
        <v>422.49122999999997</v>
      </c>
      <c r="AS397" s="1">
        <v>105.62281</v>
      </c>
      <c r="AT397" s="1">
        <v>14.7871934</v>
      </c>
      <c r="AU397" s="1">
        <v>30.99</v>
      </c>
      <c r="AV397" s="2" t="s">
        <v>60</v>
      </c>
      <c r="AW397" s="1">
        <v>320.63099999999997</v>
      </c>
      <c r="AX397" s="1">
        <f>Table1[[#This Row],[Original Commissionable GMV]]-Table1[[#This Row],[Commission ]]-Table1[[#This Row],[Commission VAT]]-Table1[[#This Row],[FreeDeliveryFund]]</f>
        <v>271.09122659999997</v>
      </c>
      <c r="AY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M397" s="2"/>
    </row>
    <row r="398" spans="12:65" x14ac:dyDescent="0.25">
      <c r="L398" s="2">
        <v>504016</v>
      </c>
      <c r="M398" s="2" t="s">
        <v>52</v>
      </c>
      <c r="N398" s="2">
        <v>505837</v>
      </c>
      <c r="O398" t="s">
        <v>63</v>
      </c>
      <c r="P398">
        <v>3401119717</v>
      </c>
      <c r="Q398" s="5">
        <v>46037.713217592594</v>
      </c>
      <c r="R398" s="2" t="s">
        <v>54</v>
      </c>
      <c r="S398" s="2" t="s">
        <v>51</v>
      </c>
      <c r="T398" s="2" t="s">
        <v>55</v>
      </c>
      <c r="U398" s="2" t="s">
        <v>59</v>
      </c>
      <c r="V398" s="2" t="s">
        <v>57</v>
      </c>
      <c r="W398" s="2" t="s">
        <v>58</v>
      </c>
      <c r="X398" s="2" t="s">
        <v>59</v>
      </c>
      <c r="Y398" s="1">
        <v>794.65</v>
      </c>
      <c r="Z398" s="1">
        <v>794.65</v>
      </c>
      <c r="AA398" s="1">
        <v>7</v>
      </c>
      <c r="AB398" s="1">
        <v>29.99</v>
      </c>
      <c r="AC398" s="1">
        <v>0</v>
      </c>
      <c r="AD398" s="1">
        <v>102.13123</v>
      </c>
      <c r="AE398" s="1">
        <v>831.64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13.906375000000001</v>
      </c>
      <c r="AP398" s="1">
        <v>1.9468924999999999</v>
      </c>
      <c r="AQ398" s="1">
        <v>697.06140000000005</v>
      </c>
      <c r="AR398" s="1">
        <v>697.06140000000005</v>
      </c>
      <c r="AS398" s="1">
        <v>174.26535000000001</v>
      </c>
      <c r="AT398" s="1">
        <v>24.397148999999999</v>
      </c>
      <c r="AU398" s="1">
        <v>29.99</v>
      </c>
      <c r="AV398" s="2" t="s">
        <v>60</v>
      </c>
      <c r="AW398" s="1">
        <v>550.14400000000001</v>
      </c>
      <c r="AX398" s="1">
        <f>Table1[[#This Row],[Original Commissionable GMV]]-Table1[[#This Row],[Commission ]]-Table1[[#This Row],[Commission VAT]]-Table1[[#This Row],[FreeDeliveryFund]]</f>
        <v>468.40890100000001</v>
      </c>
      <c r="AY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M398" s="2"/>
    </row>
    <row r="399" spans="12:65" x14ac:dyDescent="0.25">
      <c r="L399" s="2">
        <v>504016</v>
      </c>
      <c r="M399" s="2" t="s">
        <v>52</v>
      </c>
      <c r="N399" s="2">
        <v>505837</v>
      </c>
      <c r="O399" t="s">
        <v>53</v>
      </c>
      <c r="P399">
        <v>3401142767</v>
      </c>
      <c r="Q399" s="5">
        <v>46037.720277777778</v>
      </c>
      <c r="R399" s="2" t="s">
        <v>54</v>
      </c>
      <c r="S399" s="2" t="s">
        <v>51</v>
      </c>
      <c r="T399" s="2" t="s">
        <v>55</v>
      </c>
      <c r="U399" s="2" t="s">
        <v>59</v>
      </c>
      <c r="V399" s="2" t="s">
        <v>57</v>
      </c>
      <c r="W399" s="2" t="s">
        <v>58</v>
      </c>
      <c r="X399" s="2" t="s">
        <v>59</v>
      </c>
      <c r="Y399" s="1">
        <v>288.02999999999997</v>
      </c>
      <c r="Z399" s="1">
        <v>288.02999999999997</v>
      </c>
      <c r="AA399" s="1">
        <v>0</v>
      </c>
      <c r="AB399" s="1">
        <v>14.4</v>
      </c>
      <c r="AC399" s="1">
        <v>0</v>
      </c>
      <c r="AD399" s="1">
        <v>37.140529999999998</v>
      </c>
      <c r="AE399" s="1">
        <v>302.43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5.0405249999999997</v>
      </c>
      <c r="AP399" s="1">
        <v>0.70567349999999995</v>
      </c>
      <c r="AQ399" s="1">
        <v>252.65789000000001</v>
      </c>
      <c r="AR399" s="1">
        <v>252.65789000000001</v>
      </c>
      <c r="AS399" s="1">
        <v>63.164470000000001</v>
      </c>
      <c r="AT399" s="1">
        <v>8.8430257999999995</v>
      </c>
      <c r="AU399" s="1">
        <v>33.99</v>
      </c>
      <c r="AV399" s="2" t="s">
        <v>60</v>
      </c>
      <c r="AW399" s="1">
        <v>176.286</v>
      </c>
      <c r="AX399" s="1">
        <f>Table1[[#This Row],[Original Commissionable GMV]]-Table1[[#This Row],[Commission ]]-Table1[[#This Row],[Commission VAT]]-Table1[[#This Row],[FreeDeliveryFund]]</f>
        <v>146.66039420000001</v>
      </c>
      <c r="AY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M399" s="2"/>
    </row>
    <row r="400" spans="12:65" x14ac:dyDescent="0.25">
      <c r="L400" s="2">
        <v>504016</v>
      </c>
      <c r="M400" s="2" t="s">
        <v>52</v>
      </c>
      <c r="N400" s="2">
        <v>505837</v>
      </c>
      <c r="O400" t="s">
        <v>65</v>
      </c>
      <c r="P400">
        <v>3401144869</v>
      </c>
      <c r="Q400" s="5">
        <v>46037.720937500002</v>
      </c>
      <c r="R400" s="2" t="s">
        <v>54</v>
      </c>
      <c r="S400" s="2" t="s">
        <v>51</v>
      </c>
      <c r="T400" s="2" t="s">
        <v>55</v>
      </c>
      <c r="U400" s="2" t="s">
        <v>56</v>
      </c>
      <c r="V400" s="2" t="s">
        <v>57</v>
      </c>
      <c r="W400" s="2" t="s">
        <v>58</v>
      </c>
      <c r="X400" s="2" t="s">
        <v>59</v>
      </c>
      <c r="Y400" s="1">
        <v>836.17</v>
      </c>
      <c r="Z400" s="1">
        <v>836.17</v>
      </c>
      <c r="AA400" s="1">
        <v>28.99</v>
      </c>
      <c r="AB400" s="1">
        <v>29.99</v>
      </c>
      <c r="AC400" s="1">
        <v>0</v>
      </c>
      <c r="AD400" s="1">
        <v>109.9307</v>
      </c>
      <c r="AE400" s="1">
        <v>895.15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14.632975</v>
      </c>
      <c r="AP400" s="1">
        <v>2.0486165000000001</v>
      </c>
      <c r="AQ400" s="1">
        <v>733.48245999999995</v>
      </c>
      <c r="AR400" s="1">
        <v>733.48245999999995</v>
      </c>
      <c r="AS400" s="1">
        <v>183.37062</v>
      </c>
      <c r="AT400" s="1">
        <v>25.671886799999999</v>
      </c>
      <c r="AU400" s="1">
        <v>0</v>
      </c>
      <c r="AV400" s="2" t="s">
        <v>69</v>
      </c>
      <c r="AW400" s="1">
        <v>610.44600000000003</v>
      </c>
      <c r="AX400" s="1">
        <f>Table1[[#This Row],[Original Commissionable GMV]]-Table1[[#This Row],[Commission ]]-Table1[[#This Row],[Commission VAT]]-Table1[[#This Row],[FreeDeliveryFund]]</f>
        <v>524.43995319999988</v>
      </c>
      <c r="AY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M400" s="2"/>
    </row>
    <row r="401" spans="12:65" x14ac:dyDescent="0.25">
      <c r="L401" s="2">
        <v>504016</v>
      </c>
      <c r="M401" s="2" t="s">
        <v>52</v>
      </c>
      <c r="N401" s="2">
        <v>505837</v>
      </c>
      <c r="O401" t="s">
        <v>53</v>
      </c>
      <c r="P401">
        <v>3401181292</v>
      </c>
      <c r="Q401" s="5">
        <v>46037.732129629629</v>
      </c>
      <c r="R401" s="2" t="s">
        <v>54</v>
      </c>
      <c r="S401" s="2" t="s">
        <v>51</v>
      </c>
      <c r="T401" s="2" t="s">
        <v>55</v>
      </c>
      <c r="U401" s="2" t="s">
        <v>56</v>
      </c>
      <c r="V401" s="2" t="s">
        <v>57</v>
      </c>
      <c r="W401" s="2" t="s">
        <v>58</v>
      </c>
      <c r="X401" s="2" t="s">
        <v>59</v>
      </c>
      <c r="Y401" s="1">
        <v>249.99</v>
      </c>
      <c r="Z401" s="1">
        <v>249.99</v>
      </c>
      <c r="AA401" s="1">
        <v>9</v>
      </c>
      <c r="AB401" s="1">
        <v>12.5</v>
      </c>
      <c r="AC401" s="1">
        <v>0</v>
      </c>
      <c r="AD401" s="1">
        <v>33.340879999999999</v>
      </c>
      <c r="AE401" s="1">
        <v>271.49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4.3748250000000004</v>
      </c>
      <c r="AP401" s="1">
        <v>0.61247549999999995</v>
      </c>
      <c r="AQ401" s="1">
        <v>219.28946999999999</v>
      </c>
      <c r="AR401" s="1">
        <v>219.28946999999999</v>
      </c>
      <c r="AS401" s="1">
        <v>54.822369999999999</v>
      </c>
      <c r="AT401" s="1">
        <v>7.6751317999999999</v>
      </c>
      <c r="AU401" s="1">
        <v>31.99</v>
      </c>
      <c r="AV401" s="2" t="s">
        <v>60</v>
      </c>
      <c r="AW401" s="1">
        <v>150.51499999999999</v>
      </c>
      <c r="AX401" s="1">
        <f>Table1[[#This Row],[Original Commissionable GMV]]-Table1[[#This Row],[Commission ]]-Table1[[#This Row],[Commission VAT]]-Table1[[#This Row],[FreeDeliveryFund]]</f>
        <v>124.80196819999999</v>
      </c>
      <c r="AY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M401" s="2"/>
    </row>
    <row r="402" spans="12:65" x14ac:dyDescent="0.25">
      <c r="L402" s="2">
        <v>504016</v>
      </c>
      <c r="M402" s="2" t="s">
        <v>52</v>
      </c>
      <c r="N402" s="2">
        <v>505839</v>
      </c>
      <c r="O402" t="s">
        <v>63</v>
      </c>
      <c r="P402">
        <v>3401193190</v>
      </c>
      <c r="Q402" s="5">
        <v>46037.735752314817</v>
      </c>
      <c r="R402" s="2" t="s">
        <v>54</v>
      </c>
      <c r="S402" s="2" t="s">
        <v>51</v>
      </c>
      <c r="T402" s="2" t="s">
        <v>55</v>
      </c>
      <c r="U402" s="2" t="s">
        <v>59</v>
      </c>
      <c r="V402" s="2" t="s">
        <v>57</v>
      </c>
      <c r="W402" s="2" t="s">
        <v>58</v>
      </c>
      <c r="X402" s="2" t="s">
        <v>59</v>
      </c>
      <c r="Y402" s="1">
        <v>725.99</v>
      </c>
      <c r="Z402" s="1">
        <v>725.99</v>
      </c>
      <c r="AA402" s="1">
        <v>0</v>
      </c>
      <c r="AB402" s="1">
        <v>29.99</v>
      </c>
      <c r="AC402" s="1">
        <v>0</v>
      </c>
      <c r="AD402" s="1">
        <v>85.471230000000006</v>
      </c>
      <c r="AE402" s="1">
        <v>695.98</v>
      </c>
      <c r="AG402" s="1">
        <v>0</v>
      </c>
      <c r="AH402" s="1">
        <v>60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12.704825</v>
      </c>
      <c r="AP402" s="1">
        <v>1.7786755000000001</v>
      </c>
      <c r="AQ402" s="1">
        <v>636.83333000000005</v>
      </c>
      <c r="AR402" s="1">
        <v>636.83333000000005</v>
      </c>
      <c r="AS402" s="1">
        <v>159.20832999999999</v>
      </c>
      <c r="AT402" s="1">
        <v>22.2891662</v>
      </c>
      <c r="AU402" s="1">
        <v>29.99</v>
      </c>
      <c r="AV402" s="2" t="s">
        <v>60</v>
      </c>
      <c r="AW402" s="1">
        <v>500.01900000000001</v>
      </c>
      <c r="AX402" s="1">
        <f>Table1[[#This Row],[Original Commissionable GMV]]-Table1[[#This Row],[Commission ]]-Table1[[#This Row],[Commission VAT]]-Table1[[#This Row],[FreeDeliveryFund]]</f>
        <v>425.34583380000004</v>
      </c>
      <c r="AY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M402" s="2"/>
    </row>
    <row r="403" spans="12:65" x14ac:dyDescent="0.25">
      <c r="L403" s="2">
        <v>504016</v>
      </c>
      <c r="M403" s="2" t="s">
        <v>52</v>
      </c>
      <c r="N403" s="2">
        <v>505839</v>
      </c>
      <c r="O403" t="s">
        <v>63</v>
      </c>
      <c r="P403">
        <v>3401214104</v>
      </c>
      <c r="Q403" s="5">
        <v>46037.742118055554</v>
      </c>
      <c r="R403" s="2" t="s">
        <v>54</v>
      </c>
      <c r="S403" s="2" t="s">
        <v>51</v>
      </c>
      <c r="T403" s="2" t="s">
        <v>55</v>
      </c>
      <c r="U403" s="2" t="s">
        <v>56</v>
      </c>
      <c r="V403" s="2" t="s">
        <v>57</v>
      </c>
      <c r="W403" s="2" t="s">
        <v>58</v>
      </c>
      <c r="X403" s="2" t="s">
        <v>59</v>
      </c>
      <c r="Y403" s="1">
        <v>539.97</v>
      </c>
      <c r="Z403" s="1">
        <v>539.97</v>
      </c>
      <c r="AA403" s="1">
        <v>28.99</v>
      </c>
      <c r="AB403" s="1">
        <v>27</v>
      </c>
      <c r="AC403" s="1">
        <v>0</v>
      </c>
      <c r="AD403" s="1">
        <v>73.188069999999996</v>
      </c>
      <c r="AE403" s="1">
        <v>595.96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9.4494749999999996</v>
      </c>
      <c r="AP403" s="1">
        <v>1.3229264999999999</v>
      </c>
      <c r="AQ403" s="1">
        <v>473.65789000000001</v>
      </c>
      <c r="AR403" s="1">
        <v>473.65789000000001</v>
      </c>
      <c r="AS403" s="1">
        <v>118.41446999999999</v>
      </c>
      <c r="AT403" s="1">
        <v>16.578025799999999</v>
      </c>
      <c r="AU403" s="1">
        <v>0</v>
      </c>
      <c r="AV403" s="2" t="s">
        <v>69</v>
      </c>
      <c r="AW403" s="1">
        <v>394.20499999999998</v>
      </c>
      <c r="AX403" s="1">
        <f>Table1[[#This Row],[Original Commissionable GMV]]-Table1[[#This Row],[Commission ]]-Table1[[#This Row],[Commission VAT]]-Table1[[#This Row],[FreeDeliveryFund]]</f>
        <v>338.66539420000004</v>
      </c>
      <c r="AY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M403" s="2"/>
    </row>
    <row r="404" spans="12:65" x14ac:dyDescent="0.25">
      <c r="L404" s="2">
        <v>504016</v>
      </c>
      <c r="M404" s="2" t="s">
        <v>52</v>
      </c>
      <c r="N404" s="2">
        <v>505837</v>
      </c>
      <c r="O404" t="s">
        <v>53</v>
      </c>
      <c r="P404">
        <v>3401221744</v>
      </c>
      <c r="Q404" s="5">
        <v>46037.744375000002</v>
      </c>
      <c r="R404" s="2" t="s">
        <v>54</v>
      </c>
      <c r="S404" s="2" t="s">
        <v>51</v>
      </c>
      <c r="T404" s="2" t="s">
        <v>55</v>
      </c>
      <c r="U404" s="2" t="s">
        <v>59</v>
      </c>
      <c r="V404" s="2" t="s">
        <v>57</v>
      </c>
      <c r="W404" s="2" t="s">
        <v>58</v>
      </c>
      <c r="X404" s="2" t="s">
        <v>59</v>
      </c>
      <c r="Y404" s="1">
        <v>767.99</v>
      </c>
      <c r="Z404" s="1">
        <v>767.99</v>
      </c>
      <c r="AA404" s="1">
        <v>41.99</v>
      </c>
      <c r="AB404" s="1">
        <v>29.99</v>
      </c>
      <c r="AC404" s="1">
        <v>0</v>
      </c>
      <c r="AD404" s="1">
        <v>103.15421000000001</v>
      </c>
      <c r="AE404" s="1">
        <v>839.97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13.439825000000001</v>
      </c>
      <c r="AP404" s="1">
        <v>1.8815755000000001</v>
      </c>
      <c r="AQ404" s="1">
        <v>673.67543999999998</v>
      </c>
      <c r="AR404" s="1">
        <v>673.67543999999998</v>
      </c>
      <c r="AS404" s="1">
        <v>168.41886</v>
      </c>
      <c r="AT404" s="1">
        <v>23.578640400000001</v>
      </c>
      <c r="AU404" s="1">
        <v>0</v>
      </c>
      <c r="AV404" s="2" t="s">
        <v>69</v>
      </c>
      <c r="AW404" s="1">
        <v>560.67100000000005</v>
      </c>
      <c r="AX404" s="1">
        <f>Table1[[#This Row],[Original Commissionable GMV]]-Table1[[#This Row],[Commission ]]-Table1[[#This Row],[Commission VAT]]-Table1[[#This Row],[FreeDeliveryFund]]</f>
        <v>481.6779396</v>
      </c>
      <c r="AY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M404" s="2"/>
    </row>
    <row r="405" spans="12:65" x14ac:dyDescent="0.25">
      <c r="L405" s="2">
        <v>504016</v>
      </c>
      <c r="M405" s="2" t="s">
        <v>52</v>
      </c>
      <c r="N405" s="2">
        <v>505837</v>
      </c>
      <c r="O405" t="s">
        <v>53</v>
      </c>
      <c r="P405">
        <v>3401226573</v>
      </c>
      <c r="Q405" s="5">
        <v>46037.745879629627</v>
      </c>
      <c r="R405" s="2" t="s">
        <v>54</v>
      </c>
      <c r="S405" s="2" t="s">
        <v>51</v>
      </c>
      <c r="T405" s="2" t="s">
        <v>55</v>
      </c>
      <c r="U405" s="2" t="s">
        <v>56</v>
      </c>
      <c r="V405" s="2" t="s">
        <v>57</v>
      </c>
      <c r="W405" s="2" t="s">
        <v>58</v>
      </c>
      <c r="X405" s="2" t="s">
        <v>59</v>
      </c>
      <c r="Y405" s="1">
        <v>444.99</v>
      </c>
      <c r="Z405" s="1">
        <v>444.99</v>
      </c>
      <c r="AA405" s="1">
        <v>0</v>
      </c>
      <c r="AB405" s="1">
        <v>22.25</v>
      </c>
      <c r="AC405" s="1">
        <v>0</v>
      </c>
      <c r="AD405" s="1">
        <v>57.38035</v>
      </c>
      <c r="AE405" s="1">
        <v>467.24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7.7873250000000001</v>
      </c>
      <c r="AP405" s="1">
        <v>1.0902255000000001</v>
      </c>
      <c r="AQ405" s="1">
        <v>390.34210999999999</v>
      </c>
      <c r="AR405" s="1">
        <v>390.34210999999999</v>
      </c>
      <c r="AS405" s="1">
        <v>97.585530000000006</v>
      </c>
      <c r="AT405" s="1">
        <v>13.6619742</v>
      </c>
      <c r="AU405" s="1">
        <v>30.99</v>
      </c>
      <c r="AV405" s="2" t="s">
        <v>60</v>
      </c>
      <c r="AW405" s="1">
        <v>293.875</v>
      </c>
      <c r="AX405" s="1">
        <f>Table1[[#This Row],[Original Commissionable GMV]]-Table1[[#This Row],[Commission ]]-Table1[[#This Row],[Commission VAT]]-Table1[[#This Row],[FreeDeliveryFund]]</f>
        <v>248.1046058</v>
      </c>
      <c r="AY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M405" s="2"/>
    </row>
    <row r="406" spans="12:65" x14ac:dyDescent="0.25">
      <c r="L406" s="2">
        <v>504016</v>
      </c>
      <c r="M406" s="2" t="s">
        <v>52</v>
      </c>
      <c r="N406" s="2">
        <v>505837</v>
      </c>
      <c r="O406" t="s">
        <v>53</v>
      </c>
      <c r="P406">
        <v>3401231684</v>
      </c>
      <c r="Q406" s="5">
        <v>46037.747384259259</v>
      </c>
      <c r="R406" s="2" t="s">
        <v>54</v>
      </c>
      <c r="S406" s="2" t="s">
        <v>51</v>
      </c>
      <c r="T406" s="2" t="s">
        <v>55</v>
      </c>
      <c r="U406" s="2" t="s">
        <v>59</v>
      </c>
      <c r="V406" s="2" t="s">
        <v>57</v>
      </c>
      <c r="W406" s="2" t="s">
        <v>58</v>
      </c>
      <c r="X406" s="2" t="s">
        <v>59</v>
      </c>
      <c r="Y406" s="1">
        <v>954.64</v>
      </c>
      <c r="Z406" s="1">
        <v>954.64</v>
      </c>
      <c r="AA406" s="1">
        <v>29.99</v>
      </c>
      <c r="AB406" s="1">
        <v>29.99</v>
      </c>
      <c r="AC406" s="1">
        <v>0</v>
      </c>
      <c r="AD406" s="1">
        <v>124.60245999999999</v>
      </c>
      <c r="AE406" s="1">
        <v>1014.62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16.706199999999999</v>
      </c>
      <c r="AP406" s="1">
        <v>2.3388680000000002</v>
      </c>
      <c r="AQ406" s="1">
        <v>837.40350999999998</v>
      </c>
      <c r="AR406" s="1">
        <v>837.40350999999998</v>
      </c>
      <c r="AS406" s="1">
        <v>209.35087999999999</v>
      </c>
      <c r="AT406" s="1">
        <v>29.309123199999998</v>
      </c>
      <c r="AU406" s="1">
        <v>0</v>
      </c>
      <c r="AV406" s="2" t="s">
        <v>69</v>
      </c>
      <c r="AW406" s="1">
        <v>696.93499999999995</v>
      </c>
      <c r="AX406" s="1">
        <f>Table1[[#This Row],[Original Commissionable GMV]]-Table1[[#This Row],[Commission ]]-Table1[[#This Row],[Commission VAT]]-Table1[[#This Row],[FreeDeliveryFund]]</f>
        <v>598.74350679999998</v>
      </c>
      <c r="AY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M406" s="2"/>
    </row>
    <row r="407" spans="12:65" x14ac:dyDescent="0.25">
      <c r="L407" s="2">
        <v>504016</v>
      </c>
      <c r="M407" s="2" t="s">
        <v>52</v>
      </c>
      <c r="N407" s="2">
        <v>505839</v>
      </c>
      <c r="O407" t="s">
        <v>63</v>
      </c>
      <c r="P407">
        <v>3401252731</v>
      </c>
      <c r="Q407" s="5">
        <v>46037.753553240742</v>
      </c>
      <c r="R407" s="2" t="s">
        <v>54</v>
      </c>
      <c r="S407" s="2" t="s">
        <v>51</v>
      </c>
      <c r="T407" s="2" t="s">
        <v>55</v>
      </c>
      <c r="U407" s="2" t="s">
        <v>56</v>
      </c>
      <c r="V407" s="2" t="s">
        <v>57</v>
      </c>
      <c r="W407" s="2" t="s">
        <v>58</v>
      </c>
      <c r="X407" s="2" t="s">
        <v>59</v>
      </c>
      <c r="Y407" s="1">
        <v>432.94</v>
      </c>
      <c r="Z407" s="1">
        <v>432.94</v>
      </c>
      <c r="AA407" s="1">
        <v>7</v>
      </c>
      <c r="AB407" s="1">
        <v>21.65</v>
      </c>
      <c r="AC407" s="1">
        <v>0</v>
      </c>
      <c r="AD407" s="1">
        <v>56.686489999999999</v>
      </c>
      <c r="AE407" s="1">
        <v>461.59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7.5764500000000004</v>
      </c>
      <c r="AP407" s="1">
        <v>1.060703</v>
      </c>
      <c r="AQ407" s="1">
        <v>379.77193</v>
      </c>
      <c r="AR407" s="1">
        <v>379.77193</v>
      </c>
      <c r="AS407" s="1">
        <v>94.942980000000006</v>
      </c>
      <c r="AT407" s="1">
        <v>13.2920172</v>
      </c>
      <c r="AU407" s="1">
        <v>28.99</v>
      </c>
      <c r="AV407" s="2" t="s">
        <v>60</v>
      </c>
      <c r="AW407" s="1">
        <v>287.07799999999997</v>
      </c>
      <c r="AX407" s="1">
        <f>Table1[[#This Row],[Original Commissionable GMV]]-Table1[[#This Row],[Commission ]]-Table1[[#This Row],[Commission VAT]]-Table1[[#This Row],[FreeDeliveryFund]]</f>
        <v>242.54693279999998</v>
      </c>
      <c r="AY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M407" s="2"/>
    </row>
    <row r="408" spans="12:65" x14ac:dyDescent="0.25">
      <c r="L408" s="2">
        <v>504016</v>
      </c>
      <c r="M408" s="2" t="s">
        <v>52</v>
      </c>
      <c r="N408" s="2">
        <v>505839</v>
      </c>
      <c r="O408" t="s">
        <v>53</v>
      </c>
      <c r="P408">
        <v>3401255627</v>
      </c>
      <c r="Q408" s="5">
        <v>46037.754374999997</v>
      </c>
      <c r="R408" s="2" t="s">
        <v>54</v>
      </c>
      <c r="S408" s="2" t="s">
        <v>51</v>
      </c>
      <c r="T408" s="2" t="s">
        <v>55</v>
      </c>
      <c r="U408" s="2" t="s">
        <v>56</v>
      </c>
      <c r="V408" s="2" t="s">
        <v>57</v>
      </c>
      <c r="W408" s="2" t="s">
        <v>58</v>
      </c>
      <c r="X408" s="2" t="s">
        <v>59</v>
      </c>
      <c r="Y408" s="1">
        <v>329.99</v>
      </c>
      <c r="Z408" s="1">
        <v>329.99</v>
      </c>
      <c r="AA408" s="1">
        <v>0</v>
      </c>
      <c r="AB408" s="1">
        <v>16.5</v>
      </c>
      <c r="AC408" s="1">
        <v>0</v>
      </c>
      <c r="AD408" s="1">
        <v>42.551400000000001</v>
      </c>
      <c r="AE408" s="1">
        <v>346.49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5.7748249999999999</v>
      </c>
      <c r="AP408" s="1">
        <v>0.80847550000000001</v>
      </c>
      <c r="AQ408" s="1">
        <v>289.46490999999997</v>
      </c>
      <c r="AR408" s="1">
        <v>289.46490999999997</v>
      </c>
      <c r="AS408" s="1">
        <v>72.366230000000002</v>
      </c>
      <c r="AT408" s="1">
        <v>10.1312722</v>
      </c>
      <c r="AU408" s="1">
        <v>32.99</v>
      </c>
      <c r="AV408" s="2" t="s">
        <v>60</v>
      </c>
      <c r="AW408" s="1">
        <v>207.91900000000001</v>
      </c>
      <c r="AX408" s="1">
        <f>Table1[[#This Row],[Original Commissionable GMV]]-Table1[[#This Row],[Commission ]]-Table1[[#This Row],[Commission VAT]]-Table1[[#This Row],[FreeDeliveryFund]]</f>
        <v>173.97740779999995</v>
      </c>
      <c r="AY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M408" s="2"/>
    </row>
    <row r="409" spans="12:65" x14ac:dyDescent="0.25">
      <c r="L409" s="2">
        <v>504016</v>
      </c>
      <c r="M409" s="2" t="s">
        <v>52</v>
      </c>
      <c r="N409" s="2">
        <v>505839</v>
      </c>
      <c r="O409" t="s">
        <v>63</v>
      </c>
      <c r="P409">
        <v>3401274454</v>
      </c>
      <c r="Q409" s="5">
        <v>46037.759826388887</v>
      </c>
      <c r="R409" s="2" t="s">
        <v>54</v>
      </c>
      <c r="S409" s="2" t="s">
        <v>61</v>
      </c>
      <c r="T409" s="2" t="s">
        <v>55</v>
      </c>
      <c r="U409" s="2" t="s">
        <v>59</v>
      </c>
      <c r="V409" s="2" t="s">
        <v>57</v>
      </c>
      <c r="W409" s="2" t="s">
        <v>58</v>
      </c>
      <c r="X409" s="2" t="s">
        <v>59</v>
      </c>
      <c r="Y409" s="1">
        <v>225.99</v>
      </c>
      <c r="Z409" s="1">
        <v>225.99</v>
      </c>
      <c r="AA409" s="1">
        <v>29.99</v>
      </c>
      <c r="AB409" s="1">
        <v>11.3</v>
      </c>
      <c r="AC409" s="1">
        <v>0</v>
      </c>
      <c r="AD409" s="1">
        <v>32.823860000000003</v>
      </c>
      <c r="AE409" s="1">
        <v>267.27999999999997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198.23684</v>
      </c>
      <c r="AR409" s="1">
        <v>198.23684</v>
      </c>
      <c r="AS409" s="1">
        <v>49.55921</v>
      </c>
      <c r="AT409" s="1">
        <v>6.9382894000000004</v>
      </c>
      <c r="AU409" s="1">
        <v>0</v>
      </c>
      <c r="AV409" s="2" t="s">
        <v>69</v>
      </c>
      <c r="AW409" s="1">
        <v>-56.497</v>
      </c>
      <c r="AX409" s="1">
        <f>Table1[[#This Row],[Original Commissionable GMV]]-Table1[[#This Row],[Commission ]]-Table1[[#This Row],[Commission VAT]]-Table1[[#This Row],[FreeDeliveryFund]]</f>
        <v>141.73934059999999</v>
      </c>
      <c r="AY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M409" s="2"/>
    </row>
    <row r="410" spans="12:65" x14ac:dyDescent="0.25">
      <c r="L410" s="2">
        <v>504016</v>
      </c>
      <c r="M410" s="2" t="s">
        <v>52</v>
      </c>
      <c r="N410" s="2">
        <v>505837</v>
      </c>
      <c r="O410" t="s">
        <v>53</v>
      </c>
      <c r="P410">
        <v>3401289762</v>
      </c>
      <c r="Q410" s="5">
        <v>46037.764224537037</v>
      </c>
      <c r="R410" s="2" t="s">
        <v>54</v>
      </c>
      <c r="S410" s="2" t="s">
        <v>51</v>
      </c>
      <c r="T410" s="2" t="s">
        <v>55</v>
      </c>
      <c r="U410" s="2" t="s">
        <v>59</v>
      </c>
      <c r="V410" s="2" t="s">
        <v>57</v>
      </c>
      <c r="W410" s="2" t="s">
        <v>58</v>
      </c>
      <c r="X410" s="2" t="s">
        <v>59</v>
      </c>
      <c r="Y410" s="1">
        <v>536.97</v>
      </c>
      <c r="Z410" s="1">
        <v>536.97</v>
      </c>
      <c r="AA410" s="1">
        <v>0</v>
      </c>
      <c r="AB410" s="1">
        <v>26.85</v>
      </c>
      <c r="AC410" s="1">
        <v>0</v>
      </c>
      <c r="AD410" s="1">
        <v>69.241050000000001</v>
      </c>
      <c r="AE410" s="1">
        <v>563.82000000000005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9.3969749999999994</v>
      </c>
      <c r="AP410" s="1">
        <v>1.3155764999999999</v>
      </c>
      <c r="AQ410" s="1">
        <v>471.02632</v>
      </c>
      <c r="AR410" s="1">
        <v>471.02632</v>
      </c>
      <c r="AS410" s="1">
        <v>117.75658</v>
      </c>
      <c r="AT410" s="1">
        <v>16.4859212</v>
      </c>
      <c r="AU410" s="1">
        <v>32.99</v>
      </c>
      <c r="AV410" s="2" t="s">
        <v>60</v>
      </c>
      <c r="AW410" s="1">
        <v>359.02499999999998</v>
      </c>
      <c r="AX410" s="1">
        <f>Table1[[#This Row],[Original Commissionable GMV]]-Table1[[#This Row],[Commission ]]-Table1[[#This Row],[Commission VAT]]-Table1[[#This Row],[FreeDeliveryFund]]</f>
        <v>303.7938188</v>
      </c>
      <c r="AY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M410" s="2"/>
    </row>
    <row r="411" spans="12:65" x14ac:dyDescent="0.25">
      <c r="L411" s="2">
        <v>504016</v>
      </c>
      <c r="M411" s="2" t="s">
        <v>52</v>
      </c>
      <c r="N411" s="2">
        <v>505839</v>
      </c>
      <c r="O411" t="s">
        <v>53</v>
      </c>
      <c r="P411">
        <v>3401399777</v>
      </c>
      <c r="Q411" s="5">
        <v>46037.796319444446</v>
      </c>
      <c r="R411" s="2" t="s">
        <v>54</v>
      </c>
      <c r="S411" s="2" t="s">
        <v>51</v>
      </c>
      <c r="T411" s="2" t="s">
        <v>55</v>
      </c>
      <c r="U411" s="2" t="s">
        <v>59</v>
      </c>
      <c r="V411" s="2" t="s">
        <v>57</v>
      </c>
      <c r="W411" s="2" t="s">
        <v>58</v>
      </c>
      <c r="X411" s="2" t="s">
        <v>59</v>
      </c>
      <c r="Y411" s="1">
        <v>249.98</v>
      </c>
      <c r="Z411" s="1">
        <v>249.98</v>
      </c>
      <c r="AA411" s="1">
        <v>43.99</v>
      </c>
      <c r="AB411" s="1">
        <v>12.5</v>
      </c>
      <c r="AC411" s="1">
        <v>0</v>
      </c>
      <c r="AD411" s="1">
        <v>37.636670000000002</v>
      </c>
      <c r="AE411" s="1">
        <v>306.47000000000003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4.3746499999999999</v>
      </c>
      <c r="AP411" s="1">
        <v>0.61245099999999997</v>
      </c>
      <c r="AQ411" s="1">
        <v>219.2807</v>
      </c>
      <c r="AR411" s="1">
        <v>219.2807</v>
      </c>
      <c r="AS411" s="1">
        <v>54.820180000000001</v>
      </c>
      <c r="AT411" s="1">
        <v>7.6748251999999999</v>
      </c>
      <c r="AU411" s="1">
        <v>0</v>
      </c>
      <c r="AV411" s="2" t="s">
        <v>69</v>
      </c>
      <c r="AW411" s="1">
        <v>182.49799999999999</v>
      </c>
      <c r="AX411" s="1">
        <f>Table1[[#This Row],[Original Commissionable GMV]]-Table1[[#This Row],[Commission ]]-Table1[[#This Row],[Commission VAT]]-Table1[[#This Row],[FreeDeliveryFund]]</f>
        <v>156.78569480000002</v>
      </c>
      <c r="AY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M411" s="2"/>
    </row>
    <row r="412" spans="12:65" x14ac:dyDescent="0.25">
      <c r="L412" s="2">
        <v>504016</v>
      </c>
      <c r="M412" s="2" t="s">
        <v>52</v>
      </c>
      <c r="N412" s="2">
        <v>505837</v>
      </c>
      <c r="O412" t="s">
        <v>53</v>
      </c>
      <c r="P412">
        <v>3401419053</v>
      </c>
      <c r="Q412" s="5">
        <v>46037.80201388889</v>
      </c>
      <c r="R412" s="2" t="s">
        <v>54</v>
      </c>
      <c r="S412" s="2" t="s">
        <v>51</v>
      </c>
      <c r="T412" s="2" t="s">
        <v>55</v>
      </c>
      <c r="U412" s="2" t="s">
        <v>56</v>
      </c>
      <c r="V412" s="2" t="s">
        <v>57</v>
      </c>
      <c r="W412" s="2" t="s">
        <v>58</v>
      </c>
      <c r="X412" s="2" t="s">
        <v>59</v>
      </c>
      <c r="Y412" s="1">
        <v>424.66</v>
      </c>
      <c r="Z412" s="1">
        <v>424.66</v>
      </c>
      <c r="AA412" s="1">
        <v>9</v>
      </c>
      <c r="AB412" s="1">
        <v>21.23</v>
      </c>
      <c r="AC412" s="1">
        <v>0</v>
      </c>
      <c r="AD412" s="1">
        <v>55.863680000000002</v>
      </c>
      <c r="AE412" s="1">
        <v>454.89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7.4315499999999997</v>
      </c>
      <c r="AP412" s="1">
        <v>1.0404169999999999</v>
      </c>
      <c r="AQ412" s="1">
        <v>372.50877000000003</v>
      </c>
      <c r="AR412" s="1">
        <v>372.50877000000003</v>
      </c>
      <c r="AS412" s="1">
        <v>93.127189999999999</v>
      </c>
      <c r="AT412" s="1">
        <v>13.0378066</v>
      </c>
      <c r="AU412" s="1">
        <v>34.99</v>
      </c>
      <c r="AV412" s="2" t="s">
        <v>60</v>
      </c>
      <c r="AW412" s="1">
        <v>275.03300000000002</v>
      </c>
      <c r="AX412" s="1">
        <f>Table1[[#This Row],[Original Commissionable GMV]]-Table1[[#This Row],[Commission ]]-Table1[[#This Row],[Commission VAT]]-Table1[[#This Row],[FreeDeliveryFund]]</f>
        <v>231.35377340000002</v>
      </c>
      <c r="AY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M412" s="2"/>
    </row>
    <row r="413" spans="12:65" x14ac:dyDescent="0.25">
      <c r="L413" s="2">
        <v>504016</v>
      </c>
      <c r="M413" s="2" t="s">
        <v>52</v>
      </c>
      <c r="N413" s="2">
        <v>505839</v>
      </c>
      <c r="O413" t="s">
        <v>53</v>
      </c>
      <c r="P413">
        <v>3401487022</v>
      </c>
      <c r="Q413" s="5">
        <v>46037.822326388887</v>
      </c>
      <c r="R413" s="2" t="s">
        <v>66</v>
      </c>
      <c r="S413" s="2" t="s">
        <v>51</v>
      </c>
      <c r="T413" s="2" t="s">
        <v>55</v>
      </c>
      <c r="U413" s="2" t="s">
        <v>56</v>
      </c>
      <c r="V413" s="2" t="s">
        <v>57</v>
      </c>
      <c r="W413" s="2" t="s">
        <v>58</v>
      </c>
      <c r="X413" s="2" t="s">
        <v>59</v>
      </c>
      <c r="Y413" s="1">
        <v>1797.31</v>
      </c>
      <c r="Z413" s="1">
        <v>1797.31</v>
      </c>
      <c r="AA413" s="1">
        <v>9</v>
      </c>
      <c r="AB413" s="1">
        <v>29.99</v>
      </c>
      <c r="AC413" s="1">
        <v>0</v>
      </c>
      <c r="AD413" s="1">
        <v>225.51052999999999</v>
      </c>
      <c r="AE413" s="1">
        <v>1836.3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31.452925</v>
      </c>
      <c r="AP413" s="1">
        <v>4.4034095000000004</v>
      </c>
      <c r="AQ413" s="1">
        <v>1576.58772</v>
      </c>
      <c r="AR413" s="1">
        <v>1576.58772</v>
      </c>
      <c r="AS413" s="1">
        <v>394.14693</v>
      </c>
      <c r="AT413" s="1">
        <v>55.180570199999998</v>
      </c>
      <c r="AU413" s="1">
        <v>31.99</v>
      </c>
      <c r="AV413" s="2" t="s">
        <v>60</v>
      </c>
      <c r="AW413" s="1">
        <v>1280.136</v>
      </c>
      <c r="AX413" s="1">
        <f>Table1[[#This Row],[Original Commissionable GMV]]-Table1[[#This Row],[Commission ]]-Table1[[#This Row],[Commission VAT]]-Table1[[#This Row],[FreeDeliveryFund]]</f>
        <v>1095.2702198000002</v>
      </c>
      <c r="AY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M413" s="2"/>
    </row>
    <row r="414" spans="12:65" x14ac:dyDescent="0.25">
      <c r="L414" s="2">
        <v>504016</v>
      </c>
      <c r="M414" s="2" t="s">
        <v>52</v>
      </c>
      <c r="N414" s="2">
        <v>505839</v>
      </c>
      <c r="O414" t="s">
        <v>65</v>
      </c>
      <c r="P414">
        <v>3401489409</v>
      </c>
      <c r="Q414" s="5">
        <v>46037.823078703703</v>
      </c>
      <c r="R414" s="2" t="s">
        <v>54</v>
      </c>
      <c r="S414" s="2" t="s">
        <v>51</v>
      </c>
      <c r="T414" s="2" t="s">
        <v>55</v>
      </c>
      <c r="U414" s="2" t="s">
        <v>56</v>
      </c>
      <c r="V414" s="2" t="s">
        <v>57</v>
      </c>
      <c r="W414" s="2" t="s">
        <v>58</v>
      </c>
      <c r="X414" s="2" t="s">
        <v>59</v>
      </c>
      <c r="Y414" s="1">
        <v>352.99</v>
      </c>
      <c r="Z414" s="1">
        <v>352.99</v>
      </c>
      <c r="AA414" s="1">
        <v>0</v>
      </c>
      <c r="AB414" s="1">
        <v>17.649999999999999</v>
      </c>
      <c r="AC414" s="1">
        <v>0</v>
      </c>
      <c r="AD414" s="1">
        <v>45.517189999999999</v>
      </c>
      <c r="AE414" s="1">
        <v>370.64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6.1773249999999997</v>
      </c>
      <c r="AP414" s="1">
        <v>0.86482550000000002</v>
      </c>
      <c r="AQ414" s="1">
        <v>309.64035000000001</v>
      </c>
      <c r="AR414" s="1">
        <v>309.64035000000001</v>
      </c>
      <c r="AS414" s="1">
        <v>77.410089999999997</v>
      </c>
      <c r="AT414" s="1">
        <v>10.8374126</v>
      </c>
      <c r="AU414" s="1">
        <v>28.99</v>
      </c>
      <c r="AV414" s="2" t="s">
        <v>60</v>
      </c>
      <c r="AW414" s="1">
        <v>228.71</v>
      </c>
      <c r="AX414" s="1">
        <f>Table1[[#This Row],[Original Commissionable GMV]]-Table1[[#This Row],[Commission ]]-Table1[[#This Row],[Commission VAT]]-Table1[[#This Row],[FreeDeliveryFund]]</f>
        <v>192.40284740000001</v>
      </c>
      <c r="AY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M414" s="2"/>
    </row>
    <row r="415" spans="12:65" x14ac:dyDescent="0.25">
      <c r="L415" s="2">
        <v>504016</v>
      </c>
      <c r="M415" s="2" t="s">
        <v>52</v>
      </c>
      <c r="N415" s="2">
        <v>505837</v>
      </c>
      <c r="O415" t="s">
        <v>63</v>
      </c>
      <c r="P415">
        <v>3401489788</v>
      </c>
      <c r="Q415" s="5">
        <v>46037.823194444441</v>
      </c>
      <c r="R415" s="2" t="s">
        <v>54</v>
      </c>
      <c r="S415" s="2" t="s">
        <v>51</v>
      </c>
      <c r="T415" s="2" t="s">
        <v>55</v>
      </c>
      <c r="U415" s="2" t="s">
        <v>59</v>
      </c>
      <c r="V415" s="2" t="s">
        <v>57</v>
      </c>
      <c r="W415" s="2" t="s">
        <v>58</v>
      </c>
      <c r="X415" s="2" t="s">
        <v>59</v>
      </c>
      <c r="Y415" s="1">
        <v>352</v>
      </c>
      <c r="Z415" s="1">
        <v>352</v>
      </c>
      <c r="AA415" s="1">
        <v>0</v>
      </c>
      <c r="AB415" s="1">
        <v>17.600000000000001</v>
      </c>
      <c r="AC415" s="1">
        <v>0</v>
      </c>
      <c r="AD415" s="1">
        <v>45.389470000000003</v>
      </c>
      <c r="AE415" s="1">
        <v>369.6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6.16</v>
      </c>
      <c r="AP415" s="1">
        <v>0.86240000000000006</v>
      </c>
      <c r="AQ415" s="1">
        <v>308.77193</v>
      </c>
      <c r="AR415" s="1">
        <v>308.77193</v>
      </c>
      <c r="AS415" s="1">
        <v>77.192980000000006</v>
      </c>
      <c r="AT415" s="1">
        <v>10.807017200000001</v>
      </c>
      <c r="AU415" s="1">
        <v>27.99</v>
      </c>
      <c r="AV415" s="2" t="s">
        <v>60</v>
      </c>
      <c r="AW415" s="1">
        <v>228.988</v>
      </c>
      <c r="AX415" s="1">
        <f>Table1[[#This Row],[Original Commissionable GMV]]-Table1[[#This Row],[Commission ]]-Table1[[#This Row],[Commission VAT]]-Table1[[#This Row],[FreeDeliveryFund]]</f>
        <v>192.78193279999999</v>
      </c>
      <c r="AY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M415" s="2"/>
    </row>
    <row r="416" spans="12:65" x14ac:dyDescent="0.25">
      <c r="L416" s="2">
        <v>504016</v>
      </c>
      <c r="M416" s="2" t="s">
        <v>52</v>
      </c>
      <c r="N416" s="2">
        <v>505837</v>
      </c>
      <c r="O416" t="s">
        <v>53</v>
      </c>
      <c r="P416">
        <v>3401566107</v>
      </c>
      <c r="Q416" s="5">
        <v>46037.846990740742</v>
      </c>
      <c r="R416" s="2" t="s">
        <v>54</v>
      </c>
      <c r="S416" s="2" t="s">
        <v>51</v>
      </c>
      <c r="T416" s="2" t="s">
        <v>55</v>
      </c>
      <c r="U416" s="2" t="s">
        <v>59</v>
      </c>
      <c r="V416" s="2" t="s">
        <v>57</v>
      </c>
      <c r="W416" s="2" t="s">
        <v>58</v>
      </c>
      <c r="X416" s="2" t="s">
        <v>59</v>
      </c>
      <c r="Y416" s="1">
        <v>584.96</v>
      </c>
      <c r="Z416" s="1">
        <v>584.96</v>
      </c>
      <c r="AA416" s="1">
        <v>31.99</v>
      </c>
      <c r="AB416" s="1">
        <v>29.25</v>
      </c>
      <c r="AC416" s="1">
        <v>5</v>
      </c>
      <c r="AD416" s="1">
        <v>18.56842</v>
      </c>
      <c r="AE416" s="1">
        <v>151.19999999999999</v>
      </c>
      <c r="AG416" s="1">
        <v>0</v>
      </c>
      <c r="AH416" s="1">
        <v>500</v>
      </c>
      <c r="AI416" s="1">
        <v>0</v>
      </c>
      <c r="AJ416" s="1">
        <v>0</v>
      </c>
      <c r="AK416" s="1">
        <v>0</v>
      </c>
      <c r="AL416" s="1">
        <v>0</v>
      </c>
      <c r="AM416" s="1">
        <v>30</v>
      </c>
      <c r="AN416" s="1">
        <v>4.2</v>
      </c>
      <c r="AO416" s="1">
        <v>10.236800000000001</v>
      </c>
      <c r="AP416" s="1">
        <v>1.433152</v>
      </c>
      <c r="AQ416" s="1">
        <v>513.12280999999996</v>
      </c>
      <c r="AR416" s="1">
        <v>513.12280999999996</v>
      </c>
      <c r="AS416" s="1">
        <v>128.2807</v>
      </c>
      <c r="AT416" s="1">
        <v>17.959298</v>
      </c>
      <c r="AU416" s="1">
        <v>0</v>
      </c>
      <c r="AV416" s="2" t="s">
        <v>69</v>
      </c>
      <c r="AW416" s="1">
        <v>392.85</v>
      </c>
      <c r="AX416" s="1">
        <f>Table1[[#This Row],[Original Commissionable GMV]]-Table1[[#This Row],[Commission ]]-Table1[[#This Row],[Commission VAT]]-Table1[[#This Row],[FreeDeliveryFund]]</f>
        <v>366.88281199999994</v>
      </c>
      <c r="AY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M416" s="2"/>
    </row>
    <row r="417" spans="12:65" x14ac:dyDescent="0.25">
      <c r="L417" s="2">
        <v>504016</v>
      </c>
      <c r="M417" s="2" t="s">
        <v>52</v>
      </c>
      <c r="N417" s="2">
        <v>505839</v>
      </c>
      <c r="O417" t="s">
        <v>53</v>
      </c>
      <c r="P417">
        <v>3401586926</v>
      </c>
      <c r="Q417" s="5">
        <v>46037.853738425925</v>
      </c>
      <c r="R417" s="2" t="s">
        <v>54</v>
      </c>
      <c r="S417" s="2" t="s">
        <v>51</v>
      </c>
      <c r="T417" s="2" t="s">
        <v>55</v>
      </c>
      <c r="U417" s="2" t="s">
        <v>56</v>
      </c>
      <c r="V417" s="2" t="s">
        <v>57</v>
      </c>
      <c r="W417" s="2" t="s">
        <v>58</v>
      </c>
      <c r="X417" s="2" t="s">
        <v>59</v>
      </c>
      <c r="Y417" s="1">
        <v>250.99</v>
      </c>
      <c r="Z417" s="1">
        <v>250.99</v>
      </c>
      <c r="AA417" s="1">
        <v>0</v>
      </c>
      <c r="AB417" s="1">
        <v>12.55</v>
      </c>
      <c r="AC417" s="1">
        <v>0</v>
      </c>
      <c r="AD417" s="1">
        <v>32.364559999999997</v>
      </c>
      <c r="AE417" s="1">
        <v>263.54000000000002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4.3923249999999996</v>
      </c>
      <c r="AP417" s="1">
        <v>0.61492550000000001</v>
      </c>
      <c r="AQ417" s="1">
        <v>220.16667000000001</v>
      </c>
      <c r="AR417" s="1">
        <v>220.16667000000001</v>
      </c>
      <c r="AS417" s="1">
        <v>55.041670000000003</v>
      </c>
      <c r="AT417" s="1">
        <v>7.7058337999999997</v>
      </c>
      <c r="AU417" s="1">
        <v>30.99</v>
      </c>
      <c r="AV417" s="2" t="s">
        <v>60</v>
      </c>
      <c r="AW417" s="1">
        <v>152.245</v>
      </c>
      <c r="AX417" s="1">
        <f>Table1[[#This Row],[Original Commissionable GMV]]-Table1[[#This Row],[Commission ]]-Table1[[#This Row],[Commission VAT]]-Table1[[#This Row],[FreeDeliveryFund]]</f>
        <v>126.42916620000001</v>
      </c>
      <c r="AY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M417" s="2"/>
    </row>
    <row r="418" spans="12:65" x14ac:dyDescent="0.25">
      <c r="L418" s="2">
        <v>504016</v>
      </c>
      <c r="M418" s="2" t="s">
        <v>52</v>
      </c>
      <c r="N418" s="2">
        <v>505837</v>
      </c>
      <c r="O418" t="s">
        <v>63</v>
      </c>
      <c r="P418">
        <v>3401628727</v>
      </c>
      <c r="Q418" s="5">
        <v>46037.867754629631</v>
      </c>
      <c r="R418" s="2" t="s">
        <v>54</v>
      </c>
      <c r="S418" s="2" t="s">
        <v>51</v>
      </c>
      <c r="T418" s="2" t="s">
        <v>55</v>
      </c>
      <c r="U418" s="2" t="s">
        <v>56</v>
      </c>
      <c r="V418" s="2" t="s">
        <v>57</v>
      </c>
      <c r="W418" s="2" t="s">
        <v>58</v>
      </c>
      <c r="X418" s="2" t="s">
        <v>59</v>
      </c>
      <c r="Y418" s="1">
        <v>266.99</v>
      </c>
      <c r="Z418" s="1">
        <v>266.99</v>
      </c>
      <c r="AA418" s="1">
        <v>27.99</v>
      </c>
      <c r="AB418" s="1">
        <v>13.35</v>
      </c>
      <c r="AC418" s="1">
        <v>0</v>
      </c>
      <c r="AD418" s="1">
        <v>37.865090000000002</v>
      </c>
      <c r="AE418" s="1">
        <v>308.33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4.6723249999999998</v>
      </c>
      <c r="AP418" s="1">
        <v>0.65412550000000003</v>
      </c>
      <c r="AQ418" s="1">
        <v>234.20175</v>
      </c>
      <c r="AR418" s="1">
        <v>234.20175</v>
      </c>
      <c r="AS418" s="1">
        <v>58.550440000000002</v>
      </c>
      <c r="AT418" s="1">
        <v>8.1970615999999996</v>
      </c>
      <c r="AU418" s="1">
        <v>0</v>
      </c>
      <c r="AV418" s="2" t="s">
        <v>69</v>
      </c>
      <c r="AW418" s="1">
        <v>194.916</v>
      </c>
      <c r="AX418" s="1">
        <f>Table1[[#This Row],[Original Commissionable GMV]]-Table1[[#This Row],[Commission ]]-Table1[[#This Row],[Commission VAT]]-Table1[[#This Row],[FreeDeliveryFund]]</f>
        <v>167.45424839999998</v>
      </c>
      <c r="AY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M418" s="2"/>
    </row>
    <row r="419" spans="12:65" x14ac:dyDescent="0.25">
      <c r="L419" s="2">
        <v>504016</v>
      </c>
      <c r="M419" s="2" t="s">
        <v>52</v>
      </c>
      <c r="N419" s="2">
        <v>505839</v>
      </c>
      <c r="O419" t="s">
        <v>63</v>
      </c>
      <c r="P419">
        <v>3401633943</v>
      </c>
      <c r="Q419" s="5">
        <v>46037.869513888887</v>
      </c>
      <c r="R419" s="2" t="s">
        <v>54</v>
      </c>
      <c r="S419" s="2" t="s">
        <v>51</v>
      </c>
      <c r="T419" s="2" t="s">
        <v>55</v>
      </c>
      <c r="U419" s="2" t="s">
        <v>56</v>
      </c>
      <c r="V419" s="2" t="s">
        <v>57</v>
      </c>
      <c r="W419" s="2" t="s">
        <v>58</v>
      </c>
      <c r="X419" s="2" t="s">
        <v>59</v>
      </c>
      <c r="Y419" s="1">
        <v>788.96</v>
      </c>
      <c r="Z419" s="1">
        <v>788.96</v>
      </c>
      <c r="AA419" s="1">
        <v>26.99</v>
      </c>
      <c r="AB419" s="1">
        <v>29.99</v>
      </c>
      <c r="AC419" s="1">
        <v>0</v>
      </c>
      <c r="AD419" s="1">
        <v>103.88737</v>
      </c>
      <c r="AE419" s="1">
        <v>845.94</v>
      </c>
      <c r="AG419" s="1">
        <v>0</v>
      </c>
      <c r="AH419" s="1">
        <v>0</v>
      </c>
      <c r="AI419" s="1">
        <v>0</v>
      </c>
      <c r="AJ419" s="1">
        <v>77.25</v>
      </c>
      <c r="AK419" s="1">
        <v>0</v>
      </c>
      <c r="AL419" s="1">
        <v>0</v>
      </c>
      <c r="AM419" s="1">
        <v>0</v>
      </c>
      <c r="AN419" s="1">
        <v>0</v>
      </c>
      <c r="AO419" s="1">
        <v>13.806800000000001</v>
      </c>
      <c r="AP419" s="1">
        <v>1.932952</v>
      </c>
      <c r="AQ419" s="1">
        <v>692.07018000000005</v>
      </c>
      <c r="AR419" s="1">
        <v>692.07018000000005</v>
      </c>
      <c r="AS419" s="1">
        <v>173.01755</v>
      </c>
      <c r="AT419" s="1">
        <v>24.222456999999999</v>
      </c>
      <c r="AU419" s="1">
        <v>0</v>
      </c>
      <c r="AV419" s="2" t="s">
        <v>69</v>
      </c>
      <c r="AW419" s="1">
        <v>575.98</v>
      </c>
      <c r="AX419" s="1">
        <f>Table1[[#This Row],[Original Commissionable GMV]]-Table1[[#This Row],[Commission ]]-Table1[[#This Row],[Commission VAT]]-Table1[[#This Row],[FreeDeliveryFund]]</f>
        <v>494.830173</v>
      </c>
      <c r="AY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M419" s="2"/>
    </row>
    <row r="420" spans="12:65" x14ac:dyDescent="0.25">
      <c r="L420" s="2">
        <v>504016</v>
      </c>
      <c r="M420" s="2" t="s">
        <v>52</v>
      </c>
      <c r="N420" s="2">
        <v>505837</v>
      </c>
      <c r="O420" t="s">
        <v>65</v>
      </c>
      <c r="P420">
        <v>3401637346</v>
      </c>
      <c r="Q420" s="5">
        <v>46037.870671296296</v>
      </c>
      <c r="R420" s="2" t="s">
        <v>54</v>
      </c>
      <c r="S420" s="2" t="s">
        <v>51</v>
      </c>
      <c r="T420" s="2" t="s">
        <v>55</v>
      </c>
      <c r="U420" s="2" t="s">
        <v>56</v>
      </c>
      <c r="V420" s="2" t="s">
        <v>57</v>
      </c>
      <c r="W420" s="2" t="s">
        <v>58</v>
      </c>
      <c r="X420" s="2" t="s">
        <v>59</v>
      </c>
      <c r="Y420" s="1">
        <v>394.43</v>
      </c>
      <c r="Z420" s="1">
        <v>394.43</v>
      </c>
      <c r="AA420" s="1">
        <v>7</v>
      </c>
      <c r="AB420" s="1">
        <v>19.72</v>
      </c>
      <c r="AC420" s="1">
        <v>0</v>
      </c>
      <c r="AD420" s="1">
        <v>51.720179999999999</v>
      </c>
      <c r="AE420" s="1">
        <v>421.15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6.9025249999999998</v>
      </c>
      <c r="AP420" s="1">
        <v>0.96635349999999998</v>
      </c>
      <c r="AQ420" s="1">
        <v>345.99122999999997</v>
      </c>
      <c r="AR420" s="1">
        <v>345.99122999999997</v>
      </c>
      <c r="AS420" s="1">
        <v>86.497810000000001</v>
      </c>
      <c r="AT420" s="1">
        <v>12.109693399999999</v>
      </c>
      <c r="AU420" s="1">
        <v>26.99</v>
      </c>
      <c r="AV420" s="2" t="s">
        <v>60</v>
      </c>
      <c r="AW420" s="1">
        <v>260.964</v>
      </c>
      <c r="AX420" s="1">
        <f>Table1[[#This Row],[Original Commissionable GMV]]-Table1[[#This Row],[Commission ]]-Table1[[#This Row],[Commission VAT]]-Table1[[#This Row],[FreeDeliveryFund]]</f>
        <v>220.39372659999995</v>
      </c>
      <c r="AY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M420" s="2"/>
    </row>
    <row r="421" spans="12:65" x14ac:dyDescent="0.25">
      <c r="L421" s="2">
        <v>504016</v>
      </c>
      <c r="M421" s="2" t="s">
        <v>52</v>
      </c>
      <c r="N421" s="2">
        <v>505835</v>
      </c>
      <c r="O421" t="s">
        <v>63</v>
      </c>
      <c r="P421">
        <v>3401676350</v>
      </c>
      <c r="Q421" s="5">
        <v>46037.884525462963</v>
      </c>
      <c r="R421" s="2" t="s">
        <v>54</v>
      </c>
      <c r="S421" s="2" t="s">
        <v>51</v>
      </c>
      <c r="T421" s="2" t="s">
        <v>55</v>
      </c>
      <c r="U421" s="2" t="s">
        <v>59</v>
      </c>
      <c r="V421" s="2" t="s">
        <v>57</v>
      </c>
      <c r="W421" s="2" t="s">
        <v>58</v>
      </c>
      <c r="X421" s="2" t="s">
        <v>59</v>
      </c>
      <c r="Y421" s="1">
        <v>267.67</v>
      </c>
      <c r="Z421" s="1">
        <v>267.67</v>
      </c>
      <c r="AA421" s="1">
        <v>26.99</v>
      </c>
      <c r="AB421" s="1">
        <v>13.38</v>
      </c>
      <c r="AC421" s="1">
        <v>0</v>
      </c>
      <c r="AD421" s="1">
        <v>37.829470000000001</v>
      </c>
      <c r="AE421" s="1">
        <v>308.04000000000002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4.6842249999999996</v>
      </c>
      <c r="AP421" s="1">
        <v>0.65579149999999997</v>
      </c>
      <c r="AQ421" s="1">
        <v>234.79825</v>
      </c>
      <c r="AR421" s="1">
        <v>234.79825</v>
      </c>
      <c r="AS421" s="1">
        <v>58.699559999999998</v>
      </c>
      <c r="AT421" s="1">
        <v>8.2179383999999995</v>
      </c>
      <c r="AU421" s="1">
        <v>0</v>
      </c>
      <c r="AV421" s="2" t="s">
        <v>69</v>
      </c>
      <c r="AW421" s="1">
        <v>195.41200000000001</v>
      </c>
      <c r="AX421" s="1">
        <f>Table1[[#This Row],[Original Commissionable GMV]]-Table1[[#This Row],[Commission ]]-Table1[[#This Row],[Commission VAT]]-Table1[[#This Row],[FreeDeliveryFund]]</f>
        <v>167.8807516</v>
      </c>
      <c r="AY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M421" s="2"/>
    </row>
    <row r="422" spans="12:65" x14ac:dyDescent="0.25">
      <c r="L422" s="2">
        <v>504016</v>
      </c>
      <c r="M422" s="2" t="s">
        <v>52</v>
      </c>
      <c r="N422" s="2">
        <v>505839</v>
      </c>
      <c r="O422" t="s">
        <v>63</v>
      </c>
      <c r="P422">
        <v>3401716669</v>
      </c>
      <c r="Q422" s="5">
        <v>46037.899780092594</v>
      </c>
      <c r="R422" s="2" t="s">
        <v>54</v>
      </c>
      <c r="S422" s="2" t="s">
        <v>51</v>
      </c>
      <c r="T422" s="2" t="s">
        <v>55</v>
      </c>
      <c r="U422" s="2" t="s">
        <v>56</v>
      </c>
      <c r="V422" s="2" t="s">
        <v>57</v>
      </c>
      <c r="W422" s="2" t="s">
        <v>58</v>
      </c>
      <c r="X422" s="2" t="s">
        <v>59</v>
      </c>
      <c r="Y422" s="1">
        <v>760.55</v>
      </c>
      <c r="Z422" s="1">
        <v>760.55</v>
      </c>
      <c r="AA422" s="1">
        <v>26.99</v>
      </c>
      <c r="AB422" s="1">
        <v>29.99</v>
      </c>
      <c r="AC422" s="1">
        <v>0</v>
      </c>
      <c r="AD422" s="1">
        <v>100.39842</v>
      </c>
      <c r="AE422" s="1">
        <v>817.53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13.309625</v>
      </c>
      <c r="AP422" s="1">
        <v>1.8633474999999999</v>
      </c>
      <c r="AQ422" s="1">
        <v>667.14912000000004</v>
      </c>
      <c r="AR422" s="1">
        <v>667.14912000000004</v>
      </c>
      <c r="AS422" s="1">
        <v>166.78728000000001</v>
      </c>
      <c r="AT422" s="1">
        <v>23.350219200000002</v>
      </c>
      <c r="AU422" s="1">
        <v>0</v>
      </c>
      <c r="AV422" s="2" t="s">
        <v>69</v>
      </c>
      <c r="AW422" s="1">
        <v>555.24</v>
      </c>
      <c r="AX422" s="1">
        <f>Table1[[#This Row],[Original Commissionable GMV]]-Table1[[#This Row],[Commission ]]-Table1[[#This Row],[Commission VAT]]-Table1[[#This Row],[FreeDeliveryFund]]</f>
        <v>477.0116208</v>
      </c>
      <c r="AY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M422" s="2"/>
    </row>
    <row r="423" spans="12:65" x14ac:dyDescent="0.25">
      <c r="L423" s="2">
        <v>504016</v>
      </c>
      <c r="M423" s="2" t="s">
        <v>52</v>
      </c>
      <c r="N423" s="2">
        <v>505837</v>
      </c>
      <c r="O423" t="s">
        <v>65</v>
      </c>
      <c r="P423">
        <v>3401783090</v>
      </c>
      <c r="Q423" s="5">
        <v>46037.927361111113</v>
      </c>
      <c r="R423" s="2" t="s">
        <v>62</v>
      </c>
      <c r="S423" s="2" t="s">
        <v>51</v>
      </c>
      <c r="T423" s="2" t="s">
        <v>55</v>
      </c>
      <c r="U423" s="2" t="s">
        <v>56</v>
      </c>
      <c r="V423" s="2" t="s">
        <v>57</v>
      </c>
      <c r="W423" s="2" t="s">
        <v>58</v>
      </c>
      <c r="X423" s="2" t="s">
        <v>59</v>
      </c>
      <c r="Y423" s="1">
        <v>319.99</v>
      </c>
      <c r="Z423" s="1">
        <v>319.99</v>
      </c>
      <c r="AA423" s="1">
        <v>36.99</v>
      </c>
      <c r="AB423" s="1">
        <v>16</v>
      </c>
      <c r="AC423" s="1">
        <v>0</v>
      </c>
      <c r="AD423" s="1">
        <v>45.804560000000002</v>
      </c>
      <c r="AE423" s="1">
        <v>372.98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280.69297999999998</v>
      </c>
      <c r="AR423" s="1">
        <v>280.69297999999998</v>
      </c>
      <c r="AS423" s="1">
        <v>70.173249999999996</v>
      </c>
      <c r="AT423" s="1">
        <v>9.8242550000000008</v>
      </c>
      <c r="AU423" s="1">
        <v>0</v>
      </c>
      <c r="AV423" s="2" t="s">
        <v>69</v>
      </c>
      <c r="AW423" s="1">
        <v>239.99199999999999</v>
      </c>
      <c r="AX423" s="1">
        <f>Table1[[#This Row],[Original Commissionable GMV]]-Table1[[#This Row],[Commission ]]-Table1[[#This Row],[Commission VAT]]-Table1[[#This Row],[FreeDeliveryFund]]</f>
        <v>200.69547499999999</v>
      </c>
      <c r="AY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M423" s="2"/>
    </row>
    <row r="424" spans="12:65" x14ac:dyDescent="0.25">
      <c r="L424" s="2">
        <v>504016</v>
      </c>
      <c r="M424" s="2" t="s">
        <v>52</v>
      </c>
      <c r="N424" s="2">
        <v>505837</v>
      </c>
      <c r="O424" t="s">
        <v>53</v>
      </c>
      <c r="P424">
        <v>3401792708</v>
      </c>
      <c r="Q424" s="5">
        <v>46037.931400462963</v>
      </c>
      <c r="R424" s="2" t="s">
        <v>54</v>
      </c>
      <c r="S424" s="2" t="s">
        <v>51</v>
      </c>
      <c r="T424" s="2" t="s">
        <v>55</v>
      </c>
      <c r="U424" s="2" t="s">
        <v>56</v>
      </c>
      <c r="V424" s="2" t="s">
        <v>57</v>
      </c>
      <c r="W424" s="2" t="s">
        <v>58</v>
      </c>
      <c r="X424" s="2" t="s">
        <v>59</v>
      </c>
      <c r="Y424" s="1">
        <v>363.99</v>
      </c>
      <c r="Z424" s="1">
        <v>363.99</v>
      </c>
      <c r="AA424" s="1">
        <v>0</v>
      </c>
      <c r="AB424" s="1">
        <v>18.2</v>
      </c>
      <c r="AC424" s="1">
        <v>0</v>
      </c>
      <c r="AD424" s="1">
        <v>46.935609999999997</v>
      </c>
      <c r="AE424" s="1">
        <v>382.19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6.3698249999999996</v>
      </c>
      <c r="AP424" s="1">
        <v>0.89177550000000005</v>
      </c>
      <c r="AQ424" s="1">
        <v>319.28946999999999</v>
      </c>
      <c r="AR424" s="1">
        <v>319.28946999999999</v>
      </c>
      <c r="AS424" s="1">
        <v>79.822370000000006</v>
      </c>
      <c r="AT424" s="1">
        <v>11.175131800000001</v>
      </c>
      <c r="AU424" s="1">
        <v>31.99</v>
      </c>
      <c r="AV424" s="2" t="s">
        <v>60</v>
      </c>
      <c r="AW424" s="1">
        <v>233.74100000000001</v>
      </c>
      <c r="AX424" s="1">
        <f>Table1[[#This Row],[Original Commissionable GMV]]-Table1[[#This Row],[Commission ]]-Table1[[#This Row],[Commission VAT]]-Table1[[#This Row],[FreeDeliveryFund]]</f>
        <v>196.30196819999998</v>
      </c>
      <c r="AY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M424" s="2"/>
    </row>
    <row r="425" spans="12:65" x14ac:dyDescent="0.25">
      <c r="L425" s="2">
        <v>504016</v>
      </c>
      <c r="M425" s="2" t="s">
        <v>52</v>
      </c>
      <c r="N425" s="2">
        <v>505839</v>
      </c>
      <c r="O425" t="s">
        <v>53</v>
      </c>
      <c r="P425">
        <v>3401795863</v>
      </c>
      <c r="Q425" s="5">
        <v>46037.932754629626</v>
      </c>
      <c r="R425" s="2" t="s">
        <v>54</v>
      </c>
      <c r="S425" s="2" t="s">
        <v>51</v>
      </c>
      <c r="T425" s="2" t="s">
        <v>55</v>
      </c>
      <c r="U425" s="2" t="s">
        <v>56</v>
      </c>
      <c r="V425" s="2" t="s">
        <v>57</v>
      </c>
      <c r="W425" s="2" t="s">
        <v>58</v>
      </c>
      <c r="X425" s="2" t="s">
        <v>59</v>
      </c>
      <c r="Y425" s="1">
        <v>453.99</v>
      </c>
      <c r="Z425" s="1">
        <v>453.99</v>
      </c>
      <c r="AA425" s="1">
        <v>33.99</v>
      </c>
      <c r="AB425" s="1">
        <v>22.7</v>
      </c>
      <c r="AC425" s="1">
        <v>0</v>
      </c>
      <c r="AD425" s="1">
        <v>62.715089999999996</v>
      </c>
      <c r="AE425" s="1">
        <v>510.68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7.9448249999999998</v>
      </c>
      <c r="AP425" s="1">
        <v>1.1122755</v>
      </c>
      <c r="AQ425" s="1">
        <v>398.23683999999997</v>
      </c>
      <c r="AR425" s="1">
        <v>398.23683999999997</v>
      </c>
      <c r="AS425" s="1">
        <v>99.559209999999993</v>
      </c>
      <c r="AT425" s="1">
        <v>13.9382894</v>
      </c>
      <c r="AU425" s="1">
        <v>0</v>
      </c>
      <c r="AV425" s="2" t="s">
        <v>69</v>
      </c>
      <c r="AW425" s="1">
        <v>331.435</v>
      </c>
      <c r="AX425" s="1">
        <f>Table1[[#This Row],[Original Commissionable GMV]]-Table1[[#This Row],[Commission ]]-Table1[[#This Row],[Commission VAT]]-Table1[[#This Row],[FreeDeliveryFund]]</f>
        <v>284.73934059999999</v>
      </c>
      <c r="AY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M425" s="2"/>
    </row>
    <row r="426" spans="12:65" x14ac:dyDescent="0.25">
      <c r="L426" s="2">
        <v>504016</v>
      </c>
      <c r="M426" s="2" t="s">
        <v>52</v>
      </c>
      <c r="N426" s="2">
        <v>505835</v>
      </c>
      <c r="O426" t="s">
        <v>53</v>
      </c>
      <c r="P426">
        <v>3401796679</v>
      </c>
      <c r="Q426" s="5">
        <v>46037.93310185185</v>
      </c>
      <c r="R426" s="2" t="s">
        <v>54</v>
      </c>
      <c r="S426" s="2" t="s">
        <v>51</v>
      </c>
      <c r="T426" s="2" t="s">
        <v>55</v>
      </c>
      <c r="U426" s="2" t="s">
        <v>56</v>
      </c>
      <c r="V426" s="2" t="s">
        <v>57</v>
      </c>
      <c r="W426" s="2" t="s">
        <v>58</v>
      </c>
      <c r="X426" s="2" t="s">
        <v>59</v>
      </c>
      <c r="Y426" s="1">
        <v>363.99</v>
      </c>
      <c r="Z426" s="1">
        <v>363.99</v>
      </c>
      <c r="AA426" s="1">
        <v>0</v>
      </c>
      <c r="AB426" s="1">
        <v>18.2</v>
      </c>
      <c r="AC426" s="1">
        <v>0</v>
      </c>
      <c r="AD426" s="1">
        <v>46.935609999999997</v>
      </c>
      <c r="AE426" s="1">
        <v>382.19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6.3698249999999996</v>
      </c>
      <c r="AP426" s="1">
        <v>0.89177550000000005</v>
      </c>
      <c r="AQ426" s="1">
        <v>319.28946999999999</v>
      </c>
      <c r="AR426" s="1">
        <v>319.28946999999999</v>
      </c>
      <c r="AS426" s="1">
        <v>79.822370000000006</v>
      </c>
      <c r="AT426" s="1">
        <v>11.175131800000001</v>
      </c>
      <c r="AU426" s="1">
        <v>31.99</v>
      </c>
      <c r="AV426" s="2" t="s">
        <v>60</v>
      </c>
      <c r="AW426" s="1">
        <v>233.74100000000001</v>
      </c>
      <c r="AX426" s="1">
        <f>Table1[[#This Row],[Original Commissionable GMV]]-Table1[[#This Row],[Commission ]]-Table1[[#This Row],[Commission VAT]]-Table1[[#This Row],[FreeDeliveryFund]]</f>
        <v>196.30196819999998</v>
      </c>
      <c r="AY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M426" s="2"/>
    </row>
    <row r="427" spans="12:65" x14ac:dyDescent="0.25">
      <c r="L427" s="2">
        <v>504016</v>
      </c>
      <c r="M427" s="2" t="s">
        <v>52</v>
      </c>
      <c r="N427" s="2">
        <v>505837</v>
      </c>
      <c r="O427" t="s">
        <v>53</v>
      </c>
      <c r="P427">
        <v>3401810741</v>
      </c>
      <c r="Q427" s="5">
        <v>46037.939502314817</v>
      </c>
      <c r="R427" s="2" t="s">
        <v>54</v>
      </c>
      <c r="S427" s="2" t="s">
        <v>51</v>
      </c>
      <c r="T427" s="2" t="s">
        <v>55</v>
      </c>
      <c r="U427" s="2" t="s">
        <v>59</v>
      </c>
      <c r="V427" s="2" t="s">
        <v>57</v>
      </c>
      <c r="W427" s="2" t="s">
        <v>58</v>
      </c>
      <c r="X427" s="2" t="s">
        <v>59</v>
      </c>
      <c r="Y427" s="1">
        <v>403.67</v>
      </c>
      <c r="Z427" s="1">
        <v>403.67</v>
      </c>
      <c r="AA427" s="1">
        <v>9</v>
      </c>
      <c r="AB427" s="1">
        <v>20.18</v>
      </c>
      <c r="AC427" s="1">
        <v>0</v>
      </c>
      <c r="AD427" s="1">
        <v>53.157020000000003</v>
      </c>
      <c r="AE427" s="1">
        <v>432.85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7.0642250000000004</v>
      </c>
      <c r="AP427" s="1">
        <v>0.98899150000000002</v>
      </c>
      <c r="AQ427" s="1">
        <v>354.09649000000002</v>
      </c>
      <c r="AR427" s="1">
        <v>354.09649000000002</v>
      </c>
      <c r="AS427" s="1">
        <v>88.524119999999996</v>
      </c>
      <c r="AT427" s="1">
        <v>12.3933768</v>
      </c>
      <c r="AU427" s="1">
        <v>30.99</v>
      </c>
      <c r="AV427" s="2" t="s">
        <v>60</v>
      </c>
      <c r="AW427" s="1">
        <v>263.709</v>
      </c>
      <c r="AX427" s="1">
        <f>Table1[[#This Row],[Original Commissionable GMV]]-Table1[[#This Row],[Commission ]]-Table1[[#This Row],[Commission VAT]]-Table1[[#This Row],[FreeDeliveryFund]]</f>
        <v>222.18899320000003</v>
      </c>
      <c r="AY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M427" s="2"/>
    </row>
    <row r="428" spans="12:65" x14ac:dyDescent="0.25">
      <c r="L428" s="2">
        <v>504016</v>
      </c>
      <c r="M428" s="2" t="s">
        <v>52</v>
      </c>
      <c r="N428" s="2">
        <v>505839</v>
      </c>
      <c r="O428" t="s">
        <v>53</v>
      </c>
      <c r="P428">
        <v>3401885232</v>
      </c>
      <c r="Q428" s="5">
        <v>46037.978298611109</v>
      </c>
      <c r="R428" s="2" t="s">
        <v>54</v>
      </c>
      <c r="S428" s="2" t="s">
        <v>51</v>
      </c>
      <c r="T428" s="2" t="s">
        <v>55</v>
      </c>
      <c r="U428" s="2" t="s">
        <v>59</v>
      </c>
      <c r="V428" s="2" t="s">
        <v>57</v>
      </c>
      <c r="W428" s="2" t="s">
        <v>58</v>
      </c>
      <c r="X428" s="2" t="s">
        <v>59</v>
      </c>
      <c r="Y428" s="1">
        <v>355.99</v>
      </c>
      <c r="Z428" s="1">
        <v>355.99</v>
      </c>
      <c r="AA428" s="1">
        <v>32.99</v>
      </c>
      <c r="AB428" s="1">
        <v>17.8</v>
      </c>
      <c r="AC428" s="1">
        <v>0</v>
      </c>
      <c r="AD428" s="1">
        <v>49.955440000000003</v>
      </c>
      <c r="AE428" s="1">
        <v>406.78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6.2298249999999999</v>
      </c>
      <c r="AP428" s="1">
        <v>0.87217549999999999</v>
      </c>
      <c r="AQ428" s="1">
        <v>312.27193</v>
      </c>
      <c r="AR428" s="1">
        <v>312.27193</v>
      </c>
      <c r="AS428" s="1">
        <v>78.067980000000006</v>
      </c>
      <c r="AT428" s="1">
        <v>10.929517199999999</v>
      </c>
      <c r="AU428" s="1">
        <v>0</v>
      </c>
      <c r="AV428" s="2" t="s">
        <v>69</v>
      </c>
      <c r="AW428" s="1">
        <v>259.89100000000002</v>
      </c>
      <c r="AX428" s="1">
        <f>Table1[[#This Row],[Original Commissionable GMV]]-Table1[[#This Row],[Commission ]]-Table1[[#This Row],[Commission VAT]]-Table1[[#This Row],[FreeDeliveryFund]]</f>
        <v>223.2744328</v>
      </c>
      <c r="AY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M428" s="2"/>
    </row>
    <row r="429" spans="12:65" x14ac:dyDescent="0.25">
      <c r="L429" s="2">
        <v>504016</v>
      </c>
      <c r="M429" s="2" t="s">
        <v>52</v>
      </c>
      <c r="N429" s="2">
        <v>505839</v>
      </c>
      <c r="O429" t="s">
        <v>53</v>
      </c>
      <c r="P429">
        <v>3402545695</v>
      </c>
      <c r="Q429" s="5">
        <v>46038.545023148145</v>
      </c>
      <c r="R429" s="2" t="s">
        <v>66</v>
      </c>
      <c r="S429" s="2" t="s">
        <v>51</v>
      </c>
      <c r="T429" s="2" t="s">
        <v>55</v>
      </c>
      <c r="U429" s="2" t="s">
        <v>56</v>
      </c>
      <c r="V429" s="2" t="s">
        <v>57</v>
      </c>
      <c r="W429" s="2" t="s">
        <v>58</v>
      </c>
      <c r="X429" s="2" t="s">
        <v>59</v>
      </c>
      <c r="Y429" s="1">
        <v>419.99</v>
      </c>
      <c r="Z429" s="1">
        <v>419.99</v>
      </c>
      <c r="AA429" s="1">
        <v>9</v>
      </c>
      <c r="AB429" s="1">
        <v>21</v>
      </c>
      <c r="AC429" s="1">
        <v>0</v>
      </c>
      <c r="AD429" s="1">
        <v>55.26193</v>
      </c>
      <c r="AE429" s="1">
        <v>449.99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7.3498250000000001</v>
      </c>
      <c r="AP429" s="1">
        <v>1.0289755</v>
      </c>
      <c r="AQ429" s="1">
        <v>368.41228000000001</v>
      </c>
      <c r="AR429" s="1">
        <v>368.41228000000001</v>
      </c>
      <c r="AS429" s="1">
        <v>92.103070000000002</v>
      </c>
      <c r="AT429" s="1">
        <v>12.894429799999999</v>
      </c>
      <c r="AU429" s="1">
        <v>33.99</v>
      </c>
      <c r="AV429" s="2" t="s">
        <v>60</v>
      </c>
      <c r="AW429" s="1">
        <v>272.62400000000002</v>
      </c>
      <c r="AX429" s="1">
        <f>Table1[[#This Row],[Original Commissionable GMV]]-Table1[[#This Row],[Commission ]]-Table1[[#This Row],[Commission VAT]]-Table1[[#This Row],[FreeDeliveryFund]]</f>
        <v>229.42478019999999</v>
      </c>
      <c r="AY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M429" s="2"/>
    </row>
    <row r="430" spans="12:65" x14ac:dyDescent="0.25">
      <c r="L430" s="2">
        <v>504016</v>
      </c>
      <c r="M430" s="2" t="s">
        <v>52</v>
      </c>
      <c r="N430" s="2">
        <v>505835</v>
      </c>
      <c r="O430" t="s">
        <v>53</v>
      </c>
      <c r="P430">
        <v>3402626610</v>
      </c>
      <c r="Q430" s="5">
        <v>46038.575196759259</v>
      </c>
      <c r="R430" s="2" t="s">
        <v>62</v>
      </c>
      <c r="S430" s="2" t="s">
        <v>51</v>
      </c>
      <c r="T430" s="2" t="s">
        <v>55</v>
      </c>
      <c r="U430" s="2" t="s">
        <v>56</v>
      </c>
      <c r="V430" s="2" t="s">
        <v>57</v>
      </c>
      <c r="W430" s="2" t="s">
        <v>58</v>
      </c>
      <c r="X430" s="2" t="s">
        <v>59</v>
      </c>
      <c r="Y430" s="1">
        <v>805.97</v>
      </c>
      <c r="Z430" s="1">
        <v>805.97</v>
      </c>
      <c r="AA430" s="1">
        <v>31.99</v>
      </c>
      <c r="AB430" s="1">
        <v>29.99</v>
      </c>
      <c r="AC430" s="1">
        <v>0</v>
      </c>
      <c r="AD430" s="1">
        <v>106.59035</v>
      </c>
      <c r="AE430" s="1">
        <v>867.95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30</v>
      </c>
      <c r="AN430" s="1">
        <v>4.2</v>
      </c>
      <c r="AO430" s="1">
        <v>0</v>
      </c>
      <c r="AP430" s="1">
        <v>0</v>
      </c>
      <c r="AQ430" s="1">
        <v>706.99122999999997</v>
      </c>
      <c r="AR430" s="1">
        <v>706.99122999999997</v>
      </c>
      <c r="AS430" s="1">
        <v>176.74780999999999</v>
      </c>
      <c r="AT430" s="1">
        <v>24.744693399999999</v>
      </c>
      <c r="AU430" s="1">
        <v>0</v>
      </c>
      <c r="AV430" s="2" t="s">
        <v>69</v>
      </c>
      <c r="AW430" s="1">
        <v>570.27700000000004</v>
      </c>
      <c r="AX430" s="1">
        <f>Table1[[#This Row],[Original Commissionable GMV]]-Table1[[#This Row],[Commission ]]-Table1[[#This Row],[Commission VAT]]-Table1[[#This Row],[FreeDeliveryFund]]</f>
        <v>505.4987266</v>
      </c>
      <c r="AY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M430" s="2"/>
    </row>
    <row r="431" spans="12:65" x14ac:dyDescent="0.25">
      <c r="L431" s="2">
        <v>504016</v>
      </c>
      <c r="M431" s="2" t="s">
        <v>52</v>
      </c>
      <c r="N431" s="2">
        <v>505837</v>
      </c>
      <c r="O431" t="s">
        <v>53</v>
      </c>
      <c r="P431">
        <v>3402643243</v>
      </c>
      <c r="Q431" s="5">
        <v>46038.581666666665</v>
      </c>
      <c r="R431" s="2" t="s">
        <v>54</v>
      </c>
      <c r="S431" s="2" t="s">
        <v>51</v>
      </c>
      <c r="T431" s="2" t="s">
        <v>55</v>
      </c>
      <c r="U431" s="2" t="s">
        <v>56</v>
      </c>
      <c r="V431" s="2" t="s">
        <v>57</v>
      </c>
      <c r="W431" s="2" t="s">
        <v>58</v>
      </c>
      <c r="X431" s="2" t="s">
        <v>59</v>
      </c>
      <c r="Y431" s="1">
        <v>2030.63</v>
      </c>
      <c r="Z431" s="1">
        <v>2030.63</v>
      </c>
      <c r="AA431" s="1">
        <v>30.99</v>
      </c>
      <c r="AB431" s="1">
        <v>29.99</v>
      </c>
      <c r="AC431" s="1">
        <v>0</v>
      </c>
      <c r="AD431" s="1">
        <v>256.86439000000001</v>
      </c>
      <c r="AE431" s="1">
        <v>2091.61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35.536026749999998</v>
      </c>
      <c r="AP431" s="1">
        <v>4.9750437449999998</v>
      </c>
      <c r="AQ431" s="1">
        <v>1781.2543900000001</v>
      </c>
      <c r="AR431" s="1">
        <v>1781.2543900000001</v>
      </c>
      <c r="AS431" s="1">
        <v>445.31360000000001</v>
      </c>
      <c r="AT431" s="1">
        <v>62.343904000000002</v>
      </c>
      <c r="AU431" s="1">
        <v>0</v>
      </c>
      <c r="AV431" s="2" t="s">
        <v>69</v>
      </c>
      <c r="AW431" s="1">
        <v>1482.461</v>
      </c>
      <c r="AX431" s="1">
        <f>Table1[[#This Row],[Original Commissionable GMV]]-Table1[[#This Row],[Commission ]]-Table1[[#This Row],[Commission VAT]]-Table1[[#This Row],[FreeDeliveryFund]]</f>
        <v>1273.596886</v>
      </c>
      <c r="AY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M431" s="2"/>
    </row>
    <row r="432" spans="12:65" x14ac:dyDescent="0.25">
      <c r="L432" s="2">
        <v>504016</v>
      </c>
      <c r="M432" s="2" t="s">
        <v>52</v>
      </c>
      <c r="N432" s="2">
        <v>505839</v>
      </c>
      <c r="O432" t="s">
        <v>53</v>
      </c>
      <c r="P432">
        <v>3402785684</v>
      </c>
      <c r="Q432" s="5">
        <v>46038.635914351849</v>
      </c>
      <c r="R432" s="2" t="s">
        <v>54</v>
      </c>
      <c r="S432" s="2" t="s">
        <v>51</v>
      </c>
      <c r="T432" s="2" t="s">
        <v>55</v>
      </c>
      <c r="U432" s="2" t="s">
        <v>56</v>
      </c>
      <c r="V432" s="2" t="s">
        <v>57</v>
      </c>
      <c r="W432" s="2" t="s">
        <v>58</v>
      </c>
      <c r="X432" s="2" t="s">
        <v>59</v>
      </c>
      <c r="Y432" s="1">
        <v>353.99</v>
      </c>
      <c r="Z432" s="1">
        <v>353.99</v>
      </c>
      <c r="AA432" s="1">
        <v>31.99</v>
      </c>
      <c r="AB432" s="1">
        <v>17.7</v>
      </c>
      <c r="AC432" s="1">
        <v>0</v>
      </c>
      <c r="AD432" s="1">
        <v>49.574739999999998</v>
      </c>
      <c r="AE432" s="1">
        <v>403.68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6.1948249999999998</v>
      </c>
      <c r="AP432" s="1">
        <v>0.86727549999999998</v>
      </c>
      <c r="AQ432" s="1">
        <v>310.51754</v>
      </c>
      <c r="AR432" s="1">
        <v>310.51754</v>
      </c>
      <c r="AS432" s="1">
        <v>77.629390000000001</v>
      </c>
      <c r="AT432" s="1">
        <v>10.8681146</v>
      </c>
      <c r="AU432" s="1">
        <v>0</v>
      </c>
      <c r="AV432" s="2" t="s">
        <v>69</v>
      </c>
      <c r="AW432" s="1">
        <v>258.43</v>
      </c>
      <c r="AX432" s="1">
        <f>Table1[[#This Row],[Original Commissionable GMV]]-Table1[[#This Row],[Commission ]]-Table1[[#This Row],[Commission VAT]]-Table1[[#This Row],[FreeDeliveryFund]]</f>
        <v>222.02003539999998</v>
      </c>
      <c r="AY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M432" s="2"/>
    </row>
    <row r="433" spans="12:65" x14ac:dyDescent="0.25">
      <c r="L433" s="2">
        <v>504016</v>
      </c>
      <c r="M433" s="2" t="s">
        <v>52</v>
      </c>
      <c r="N433" s="2">
        <v>505839</v>
      </c>
      <c r="O433" t="s">
        <v>53</v>
      </c>
      <c r="P433">
        <v>3402793158</v>
      </c>
      <c r="Q433" s="5">
        <v>46038.638564814813</v>
      </c>
      <c r="R433" s="2" t="s">
        <v>54</v>
      </c>
      <c r="S433" s="2" t="s">
        <v>51</v>
      </c>
      <c r="T433" s="2" t="s">
        <v>55</v>
      </c>
      <c r="U433" s="2" t="s">
        <v>56</v>
      </c>
      <c r="V433" s="2" t="s">
        <v>57</v>
      </c>
      <c r="W433" s="2" t="s">
        <v>58</v>
      </c>
      <c r="X433" s="2" t="s">
        <v>59</v>
      </c>
      <c r="Y433" s="1">
        <v>1073.97</v>
      </c>
      <c r="Z433" s="1">
        <v>1073.97</v>
      </c>
      <c r="AA433" s="1">
        <v>0</v>
      </c>
      <c r="AB433" s="1">
        <v>29.99</v>
      </c>
      <c r="AC433" s="1">
        <v>0</v>
      </c>
      <c r="AD433" s="1">
        <v>135.57404</v>
      </c>
      <c r="AE433" s="1">
        <v>1103.96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18.794474999999998</v>
      </c>
      <c r="AP433" s="1">
        <v>2.6312264999999999</v>
      </c>
      <c r="AQ433" s="1">
        <v>942.07894999999996</v>
      </c>
      <c r="AR433" s="1">
        <v>942.07894999999996</v>
      </c>
      <c r="AS433" s="1">
        <v>235.51974000000001</v>
      </c>
      <c r="AT433" s="1">
        <v>32.9727636</v>
      </c>
      <c r="AU433" s="1">
        <v>35.99</v>
      </c>
      <c r="AV433" s="2" t="s">
        <v>60</v>
      </c>
      <c r="AW433" s="1">
        <v>748.06200000000001</v>
      </c>
      <c r="AX433" s="1">
        <f>Table1[[#This Row],[Original Commissionable GMV]]-Table1[[#This Row],[Commission ]]-Table1[[#This Row],[Commission VAT]]-Table1[[#This Row],[FreeDeliveryFund]]</f>
        <v>637.59644639999988</v>
      </c>
      <c r="AY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M433" s="2"/>
    </row>
    <row r="434" spans="12:65" x14ac:dyDescent="0.25">
      <c r="L434" s="2">
        <v>504016</v>
      </c>
      <c r="M434" s="2" t="s">
        <v>52</v>
      </c>
      <c r="N434" s="2">
        <v>505837</v>
      </c>
      <c r="O434" t="s">
        <v>63</v>
      </c>
      <c r="P434">
        <v>3402811352</v>
      </c>
      <c r="Q434" s="5">
        <v>46038.645208333335</v>
      </c>
      <c r="R434" s="2" t="s">
        <v>54</v>
      </c>
      <c r="S434" s="2" t="s">
        <v>51</v>
      </c>
      <c r="T434" s="2" t="s">
        <v>55</v>
      </c>
      <c r="U434" s="2" t="s">
        <v>59</v>
      </c>
      <c r="V434" s="2" t="s">
        <v>57</v>
      </c>
      <c r="W434" s="2" t="s">
        <v>58</v>
      </c>
      <c r="X434" s="2" t="s">
        <v>59</v>
      </c>
      <c r="Y434" s="1">
        <v>266.99</v>
      </c>
      <c r="Z434" s="1">
        <v>266.99</v>
      </c>
      <c r="AA434" s="1">
        <v>27.99</v>
      </c>
      <c r="AB434" s="1">
        <v>13.35</v>
      </c>
      <c r="AC434" s="1">
        <v>0</v>
      </c>
      <c r="AD434" s="1">
        <v>37.865090000000002</v>
      </c>
      <c r="AE434" s="1">
        <v>308.33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4.6723249999999998</v>
      </c>
      <c r="AP434" s="1">
        <v>0.65412550000000003</v>
      </c>
      <c r="AQ434" s="1">
        <v>234.20175</v>
      </c>
      <c r="AR434" s="1">
        <v>234.20175</v>
      </c>
      <c r="AS434" s="1">
        <v>58.550440000000002</v>
      </c>
      <c r="AT434" s="1">
        <v>8.1970615999999996</v>
      </c>
      <c r="AU434" s="1">
        <v>0</v>
      </c>
      <c r="AV434" s="2" t="s">
        <v>69</v>
      </c>
      <c r="AW434" s="1">
        <v>194.916</v>
      </c>
      <c r="AX434" s="1">
        <f>Table1[[#This Row],[Original Commissionable GMV]]-Table1[[#This Row],[Commission ]]-Table1[[#This Row],[Commission VAT]]-Table1[[#This Row],[FreeDeliveryFund]]</f>
        <v>167.45424839999998</v>
      </c>
      <c r="AY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M434" s="2"/>
    </row>
    <row r="435" spans="12:65" x14ac:dyDescent="0.25">
      <c r="L435" s="2">
        <v>504016</v>
      </c>
      <c r="M435" s="2" t="s">
        <v>52</v>
      </c>
      <c r="N435" s="2">
        <v>505839</v>
      </c>
      <c r="O435" t="s">
        <v>53</v>
      </c>
      <c r="P435">
        <v>3402821498</v>
      </c>
      <c r="Q435" s="5">
        <v>46038.648865740739</v>
      </c>
      <c r="R435" s="2" t="s">
        <v>62</v>
      </c>
      <c r="S435" s="2" t="s">
        <v>51</v>
      </c>
      <c r="T435" s="2" t="s">
        <v>55</v>
      </c>
      <c r="U435" s="2" t="s">
        <v>56</v>
      </c>
      <c r="V435" s="2" t="s">
        <v>57</v>
      </c>
      <c r="W435" s="2" t="s">
        <v>58</v>
      </c>
      <c r="X435" s="2" t="s">
        <v>59</v>
      </c>
      <c r="Y435" s="1">
        <v>475.98</v>
      </c>
      <c r="Z435" s="1">
        <v>475.98</v>
      </c>
      <c r="AA435" s="1">
        <v>9</v>
      </c>
      <c r="AB435" s="1">
        <v>23.8</v>
      </c>
      <c r="AC435" s="1">
        <v>0</v>
      </c>
      <c r="AD435" s="1">
        <v>62.481749999999998</v>
      </c>
      <c r="AE435" s="1">
        <v>508.78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417.52632</v>
      </c>
      <c r="AR435" s="1">
        <v>417.52632</v>
      </c>
      <c r="AS435" s="1">
        <v>104.38158</v>
      </c>
      <c r="AT435" s="1">
        <v>14.613421199999999</v>
      </c>
      <c r="AU435" s="1">
        <v>31.99</v>
      </c>
      <c r="AV435" s="2" t="s">
        <v>60</v>
      </c>
      <c r="AW435" s="1">
        <v>324.995</v>
      </c>
      <c r="AX435" s="1">
        <f>Table1[[#This Row],[Original Commissionable GMV]]-Table1[[#This Row],[Commission ]]-Table1[[#This Row],[Commission VAT]]-Table1[[#This Row],[FreeDeliveryFund]]</f>
        <v>266.5413188</v>
      </c>
      <c r="AY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M435" s="2"/>
    </row>
    <row r="436" spans="12:65" x14ac:dyDescent="0.25">
      <c r="L436" s="2">
        <v>504016</v>
      </c>
      <c r="M436" s="2" t="s">
        <v>52</v>
      </c>
      <c r="N436" s="2">
        <v>505835</v>
      </c>
      <c r="O436" t="s">
        <v>63</v>
      </c>
      <c r="P436">
        <v>3402839203</v>
      </c>
      <c r="Q436" s="5">
        <v>46038.655231481483</v>
      </c>
      <c r="R436" s="2" t="s">
        <v>54</v>
      </c>
      <c r="S436" s="2" t="s">
        <v>51</v>
      </c>
      <c r="T436" s="2" t="s">
        <v>55</v>
      </c>
      <c r="U436" s="2" t="s">
        <v>56</v>
      </c>
      <c r="V436" s="2" t="s">
        <v>57</v>
      </c>
      <c r="W436" s="2" t="s">
        <v>58</v>
      </c>
      <c r="X436" s="2" t="s">
        <v>59</v>
      </c>
      <c r="Y436" s="1">
        <v>1104.47</v>
      </c>
      <c r="Z436" s="1">
        <v>1104.47</v>
      </c>
      <c r="AA436" s="1">
        <v>27.99</v>
      </c>
      <c r="AB436" s="1">
        <v>29.99</v>
      </c>
      <c r="AC436" s="1">
        <v>0</v>
      </c>
      <c r="AD436" s="1">
        <v>142.75702000000001</v>
      </c>
      <c r="AE436" s="1">
        <v>1162.45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19.328225</v>
      </c>
      <c r="AP436" s="1">
        <v>2.7059514999999998</v>
      </c>
      <c r="AQ436" s="1">
        <v>968.83333000000005</v>
      </c>
      <c r="AR436" s="1">
        <v>968.83333000000005</v>
      </c>
      <c r="AS436" s="1">
        <v>242.20832999999999</v>
      </c>
      <c r="AT436" s="1">
        <v>33.909166200000001</v>
      </c>
      <c r="AU436" s="1">
        <v>0</v>
      </c>
      <c r="AV436" s="2" t="s">
        <v>69</v>
      </c>
      <c r="AW436" s="1">
        <v>806.31799999999998</v>
      </c>
      <c r="AX436" s="1">
        <f>Table1[[#This Row],[Original Commissionable GMV]]-Table1[[#This Row],[Commission ]]-Table1[[#This Row],[Commission VAT]]-Table1[[#This Row],[FreeDeliveryFund]]</f>
        <v>692.71583380000004</v>
      </c>
      <c r="AY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M436" s="2"/>
    </row>
    <row r="437" spans="12:65" x14ac:dyDescent="0.25">
      <c r="L437" s="2">
        <v>504016</v>
      </c>
      <c r="M437" s="2" t="s">
        <v>52</v>
      </c>
      <c r="N437" s="2">
        <v>505839</v>
      </c>
      <c r="O437" t="s">
        <v>63</v>
      </c>
      <c r="P437">
        <v>3402853464</v>
      </c>
      <c r="Q437" s="5">
        <v>46038.66033564815</v>
      </c>
      <c r="R437" s="2" t="s">
        <v>54</v>
      </c>
      <c r="S437" s="2" t="s">
        <v>51</v>
      </c>
      <c r="T437" s="2" t="s">
        <v>55</v>
      </c>
      <c r="U437" s="2" t="s">
        <v>56</v>
      </c>
      <c r="V437" s="2" t="s">
        <v>57</v>
      </c>
      <c r="W437" s="2" t="s">
        <v>58</v>
      </c>
      <c r="X437" s="2" t="s">
        <v>59</v>
      </c>
      <c r="Y437" s="1">
        <v>804.82</v>
      </c>
      <c r="Z437" s="1">
        <v>804.82</v>
      </c>
      <c r="AA437" s="1">
        <v>0</v>
      </c>
      <c r="AB437" s="1">
        <v>29.99</v>
      </c>
      <c r="AC437" s="1">
        <v>0</v>
      </c>
      <c r="AD437" s="1">
        <v>95.152109999999993</v>
      </c>
      <c r="AE437" s="1">
        <v>774.81</v>
      </c>
      <c r="AG437" s="1">
        <v>0</v>
      </c>
      <c r="AH437" s="1">
        <v>60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14.084350000000001</v>
      </c>
      <c r="AP437" s="1">
        <v>1.9718089999999999</v>
      </c>
      <c r="AQ437" s="1">
        <v>705.98245999999995</v>
      </c>
      <c r="AR437" s="1">
        <v>705.98245999999995</v>
      </c>
      <c r="AS437" s="1">
        <v>176.49562</v>
      </c>
      <c r="AT437" s="1">
        <v>24.709386800000001</v>
      </c>
      <c r="AU437" s="1">
        <v>28.99</v>
      </c>
      <c r="AV437" s="2" t="s">
        <v>60</v>
      </c>
      <c r="AW437" s="1">
        <v>558.56899999999996</v>
      </c>
      <c r="AX437" s="1">
        <f>Table1[[#This Row],[Original Commissionable GMV]]-Table1[[#This Row],[Commission ]]-Table1[[#This Row],[Commission VAT]]-Table1[[#This Row],[FreeDeliveryFund]]</f>
        <v>475.7874531999999</v>
      </c>
      <c r="AY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M437" s="2"/>
    </row>
    <row r="438" spans="12:65" x14ac:dyDescent="0.25">
      <c r="L438" s="2">
        <v>504016</v>
      </c>
      <c r="M438" s="2" t="s">
        <v>52</v>
      </c>
      <c r="N438" s="2">
        <v>505835</v>
      </c>
      <c r="O438" t="s">
        <v>53</v>
      </c>
      <c r="P438">
        <v>3402872175</v>
      </c>
      <c r="Q438" s="5">
        <v>46038.667083333334</v>
      </c>
      <c r="R438" s="2" t="s">
        <v>62</v>
      </c>
      <c r="S438" s="2" t="s">
        <v>51</v>
      </c>
      <c r="T438" s="2" t="s">
        <v>55</v>
      </c>
      <c r="U438" s="2" t="s">
        <v>56</v>
      </c>
      <c r="V438" s="2" t="s">
        <v>57</v>
      </c>
      <c r="W438" s="2" t="s">
        <v>58</v>
      </c>
      <c r="X438" s="2" t="s">
        <v>59</v>
      </c>
      <c r="Y438" s="1">
        <v>391.66</v>
      </c>
      <c r="Z438" s="1">
        <v>391.66</v>
      </c>
      <c r="AA438" s="1">
        <v>44.99</v>
      </c>
      <c r="AB438" s="1">
        <v>19.579999999999998</v>
      </c>
      <c r="AC438" s="1">
        <v>0</v>
      </c>
      <c r="AD438" s="1">
        <v>56.02825</v>
      </c>
      <c r="AE438" s="1">
        <v>456.23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343.56139999999999</v>
      </c>
      <c r="AR438" s="1">
        <v>343.56139999999999</v>
      </c>
      <c r="AS438" s="1">
        <v>85.890349999999998</v>
      </c>
      <c r="AT438" s="1">
        <v>12.024649</v>
      </c>
      <c r="AU438" s="1">
        <v>0</v>
      </c>
      <c r="AV438" s="2" t="s">
        <v>69</v>
      </c>
      <c r="AW438" s="1">
        <v>293.745</v>
      </c>
      <c r="AX438" s="1">
        <f>Table1[[#This Row],[Original Commissionable GMV]]-Table1[[#This Row],[Commission ]]-Table1[[#This Row],[Commission VAT]]-Table1[[#This Row],[FreeDeliveryFund]]</f>
        <v>245.64640099999997</v>
      </c>
      <c r="AY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M438" s="2"/>
    </row>
    <row r="439" spans="12:65" x14ac:dyDescent="0.25">
      <c r="L439" s="2">
        <v>504016</v>
      </c>
      <c r="M439" s="2" t="s">
        <v>52</v>
      </c>
      <c r="N439" s="2">
        <v>505837</v>
      </c>
      <c r="O439" t="s">
        <v>63</v>
      </c>
      <c r="P439">
        <v>3402888623</v>
      </c>
      <c r="Q439" s="5">
        <v>46038.672881944447</v>
      </c>
      <c r="R439" s="2" t="s">
        <v>54</v>
      </c>
      <c r="S439" s="2" t="s">
        <v>51</v>
      </c>
      <c r="T439" s="2" t="s">
        <v>77</v>
      </c>
      <c r="U439" s="2" t="s">
        <v>59</v>
      </c>
      <c r="V439" s="2" t="s">
        <v>57</v>
      </c>
      <c r="W439" s="2" t="s">
        <v>58</v>
      </c>
      <c r="X439" s="2" t="s">
        <v>59</v>
      </c>
      <c r="Y439" s="1">
        <v>319.99</v>
      </c>
      <c r="Z439" s="1">
        <v>319.99</v>
      </c>
      <c r="AA439" s="1">
        <v>0</v>
      </c>
      <c r="AB439" s="1">
        <v>0</v>
      </c>
      <c r="AC439" s="1">
        <v>0</v>
      </c>
      <c r="AD439" s="1">
        <v>33.402279999999998</v>
      </c>
      <c r="AE439" s="1">
        <v>271.99</v>
      </c>
      <c r="AG439" s="1">
        <v>0</v>
      </c>
      <c r="AH439" s="1">
        <v>48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5.5998512500000004</v>
      </c>
      <c r="AP439" s="1">
        <v>0.78397917500000003</v>
      </c>
      <c r="AQ439" s="1">
        <v>280.69297999999998</v>
      </c>
      <c r="AR439" s="1">
        <v>280.69297999999998</v>
      </c>
      <c r="AS439" s="1">
        <v>70.173249999999996</v>
      </c>
      <c r="AT439" s="1">
        <v>9.8242550000000008</v>
      </c>
      <c r="AU439" s="1">
        <v>0</v>
      </c>
      <c r="AV439" s="2" t="s">
        <v>69</v>
      </c>
      <c r="AW439" s="1">
        <v>233.60900000000001</v>
      </c>
      <c r="AX439" s="1">
        <f>Table1[[#This Row],[Original Commissionable GMV]]-Table1[[#This Row],[Commission ]]-Table1[[#This Row],[Commission VAT]]-Table1[[#This Row],[FreeDeliveryFund]]</f>
        <v>200.69547499999999</v>
      </c>
      <c r="AY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M439" s="2"/>
    </row>
    <row r="440" spans="12:65" x14ac:dyDescent="0.25">
      <c r="L440" s="2">
        <v>504016</v>
      </c>
      <c r="M440" s="2" t="s">
        <v>52</v>
      </c>
      <c r="N440" s="2">
        <v>505835</v>
      </c>
      <c r="O440" t="s">
        <v>63</v>
      </c>
      <c r="P440">
        <v>3402945319</v>
      </c>
      <c r="Q440" s="5">
        <v>46038.692164351851</v>
      </c>
      <c r="R440" s="2" t="s">
        <v>54</v>
      </c>
      <c r="S440" s="2" t="s">
        <v>51</v>
      </c>
      <c r="T440" s="2" t="s">
        <v>55</v>
      </c>
      <c r="U440" s="2" t="s">
        <v>56</v>
      </c>
      <c r="V440" s="2" t="s">
        <v>57</v>
      </c>
      <c r="W440" s="2" t="s">
        <v>58</v>
      </c>
      <c r="X440" s="2" t="s">
        <v>59</v>
      </c>
      <c r="Y440" s="1">
        <v>239.99</v>
      </c>
      <c r="Z440" s="1">
        <v>239.99</v>
      </c>
      <c r="AA440" s="1">
        <v>28.99</v>
      </c>
      <c r="AB440" s="1">
        <v>12</v>
      </c>
      <c r="AC440" s="1">
        <v>0</v>
      </c>
      <c r="AD440" s="1">
        <v>34.506320000000002</v>
      </c>
      <c r="AE440" s="1">
        <v>280.98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4.1998249999999997</v>
      </c>
      <c r="AP440" s="1">
        <v>0.58797549999999998</v>
      </c>
      <c r="AQ440" s="1">
        <v>210.51754</v>
      </c>
      <c r="AR440" s="1">
        <v>210.51754</v>
      </c>
      <c r="AS440" s="1">
        <v>52.629390000000001</v>
      </c>
      <c r="AT440" s="1">
        <v>7.3681146000000002</v>
      </c>
      <c r="AU440" s="1">
        <v>0</v>
      </c>
      <c r="AV440" s="2" t="s">
        <v>69</v>
      </c>
      <c r="AW440" s="1">
        <v>175.20500000000001</v>
      </c>
      <c r="AX440" s="1">
        <f>Table1[[#This Row],[Original Commissionable GMV]]-Table1[[#This Row],[Commission ]]-Table1[[#This Row],[Commission VAT]]-Table1[[#This Row],[FreeDeliveryFund]]</f>
        <v>150.52003539999998</v>
      </c>
      <c r="AY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M440" s="2"/>
    </row>
    <row r="441" spans="12:65" x14ac:dyDescent="0.25">
      <c r="L441" s="2">
        <v>504016</v>
      </c>
      <c r="M441" s="2" t="s">
        <v>52</v>
      </c>
      <c r="N441" s="2">
        <v>505839</v>
      </c>
      <c r="O441" t="s">
        <v>63</v>
      </c>
      <c r="P441">
        <v>3402946521</v>
      </c>
      <c r="Q441" s="5">
        <v>46038.69253472222</v>
      </c>
      <c r="R441" s="2" t="s">
        <v>54</v>
      </c>
      <c r="S441" s="2" t="s">
        <v>51</v>
      </c>
      <c r="T441" s="2" t="s">
        <v>55</v>
      </c>
      <c r="U441" s="2" t="s">
        <v>56</v>
      </c>
      <c r="V441" s="2" t="s">
        <v>57</v>
      </c>
      <c r="W441" s="2" t="s">
        <v>58</v>
      </c>
      <c r="X441" s="2" t="s">
        <v>59</v>
      </c>
      <c r="Y441" s="1">
        <v>370.99</v>
      </c>
      <c r="Z441" s="1">
        <v>370.99</v>
      </c>
      <c r="AA441" s="1">
        <v>0</v>
      </c>
      <c r="AB441" s="1">
        <v>18.55</v>
      </c>
      <c r="AC441" s="1">
        <v>0</v>
      </c>
      <c r="AD441" s="1">
        <v>47.838250000000002</v>
      </c>
      <c r="AE441" s="1">
        <v>389.54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6.4923250000000001</v>
      </c>
      <c r="AP441" s="1">
        <v>0.90892550000000005</v>
      </c>
      <c r="AQ441" s="1">
        <v>325.42982000000001</v>
      </c>
      <c r="AR441" s="1">
        <v>325.42982000000001</v>
      </c>
      <c r="AS441" s="1">
        <v>81.357460000000003</v>
      </c>
      <c r="AT441" s="1">
        <v>11.390044400000001</v>
      </c>
      <c r="AU441" s="1">
        <v>29.99</v>
      </c>
      <c r="AV441" s="2" t="s">
        <v>60</v>
      </c>
      <c r="AW441" s="1">
        <v>240.851</v>
      </c>
      <c r="AX441" s="1">
        <f>Table1[[#This Row],[Original Commissionable GMV]]-Table1[[#This Row],[Commission ]]-Table1[[#This Row],[Commission VAT]]-Table1[[#This Row],[FreeDeliveryFund]]</f>
        <v>202.6923156</v>
      </c>
      <c r="AY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M441" s="2"/>
    </row>
    <row r="442" spans="12:65" x14ac:dyDescent="0.25">
      <c r="L442" s="2">
        <v>504016</v>
      </c>
      <c r="M442" s="2" t="s">
        <v>52</v>
      </c>
      <c r="N442" s="2">
        <v>505837</v>
      </c>
      <c r="O442" t="s">
        <v>53</v>
      </c>
      <c r="P442">
        <v>3402947998</v>
      </c>
      <c r="Q442" s="5">
        <v>46038.693009259259</v>
      </c>
      <c r="R442" s="2" t="s">
        <v>54</v>
      </c>
      <c r="S442" s="2" t="s">
        <v>51</v>
      </c>
      <c r="T442" s="2" t="s">
        <v>55</v>
      </c>
      <c r="U442" s="2" t="s">
        <v>59</v>
      </c>
      <c r="V442" s="2" t="s">
        <v>57</v>
      </c>
      <c r="W442" s="2" t="s">
        <v>58</v>
      </c>
      <c r="X442" s="2" t="s">
        <v>59</v>
      </c>
      <c r="Y442" s="1">
        <v>543.98</v>
      </c>
      <c r="Z442" s="1">
        <v>543.98</v>
      </c>
      <c r="AA442" s="1">
        <v>0</v>
      </c>
      <c r="AB442" s="1">
        <v>27.2</v>
      </c>
      <c r="AC442" s="1">
        <v>0</v>
      </c>
      <c r="AD442" s="1">
        <v>70.144909999999996</v>
      </c>
      <c r="AE442" s="1">
        <v>571.17999999999995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9.5196500000000004</v>
      </c>
      <c r="AP442" s="1">
        <v>1.332751</v>
      </c>
      <c r="AQ442" s="1">
        <v>477.17543999999998</v>
      </c>
      <c r="AR442" s="1">
        <v>477.17543999999998</v>
      </c>
      <c r="AS442" s="1">
        <v>119.29386</v>
      </c>
      <c r="AT442" s="1">
        <v>16.7011404</v>
      </c>
      <c r="AU442" s="1">
        <v>33.99</v>
      </c>
      <c r="AV442" s="2" t="s">
        <v>60</v>
      </c>
      <c r="AW442" s="1">
        <v>363.14299999999997</v>
      </c>
      <c r="AX442" s="1">
        <f>Table1[[#This Row],[Original Commissionable GMV]]-Table1[[#This Row],[Commission ]]-Table1[[#This Row],[Commission VAT]]-Table1[[#This Row],[FreeDeliveryFund]]</f>
        <v>307.19043959999999</v>
      </c>
      <c r="AY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M442" s="2"/>
    </row>
    <row r="443" spans="12:65" x14ac:dyDescent="0.25">
      <c r="L443" s="2">
        <v>504016</v>
      </c>
      <c r="M443" s="2" t="s">
        <v>52</v>
      </c>
      <c r="N443" s="2">
        <v>505837</v>
      </c>
      <c r="O443" t="s">
        <v>53</v>
      </c>
      <c r="P443">
        <v>3402949969</v>
      </c>
      <c r="Q443" s="5">
        <v>46038.693645833337</v>
      </c>
      <c r="R443" s="2" t="s">
        <v>62</v>
      </c>
      <c r="S443" s="2" t="s">
        <v>51</v>
      </c>
      <c r="T443" s="2" t="s">
        <v>55</v>
      </c>
      <c r="U443" s="2" t="s">
        <v>59</v>
      </c>
      <c r="V443" s="2" t="s">
        <v>57</v>
      </c>
      <c r="W443" s="2" t="s">
        <v>58</v>
      </c>
      <c r="X443" s="2" t="s">
        <v>59</v>
      </c>
      <c r="Y443" s="1">
        <v>721.98</v>
      </c>
      <c r="Z443" s="1">
        <v>721.98</v>
      </c>
      <c r="AA443" s="1">
        <v>9</v>
      </c>
      <c r="AB443" s="1">
        <v>29.99</v>
      </c>
      <c r="AC443" s="1">
        <v>0</v>
      </c>
      <c r="AD443" s="1">
        <v>93.452460000000002</v>
      </c>
      <c r="AE443" s="1">
        <v>760.97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633.31578999999999</v>
      </c>
      <c r="AR443" s="1">
        <v>633.31578999999999</v>
      </c>
      <c r="AS443" s="1">
        <v>158.32894999999999</v>
      </c>
      <c r="AT443" s="1">
        <v>22.166053000000002</v>
      </c>
      <c r="AU443" s="1">
        <v>30.99</v>
      </c>
      <c r="AV443" s="2" t="s">
        <v>60</v>
      </c>
      <c r="AW443" s="1">
        <v>510.495</v>
      </c>
      <c r="AX443" s="1">
        <f>Table1[[#This Row],[Original Commissionable GMV]]-Table1[[#This Row],[Commission ]]-Table1[[#This Row],[Commission VAT]]-Table1[[#This Row],[FreeDeliveryFund]]</f>
        <v>421.83078700000004</v>
      </c>
      <c r="AY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M443" s="2"/>
    </row>
    <row r="444" spans="12:65" x14ac:dyDescent="0.25">
      <c r="L444" s="2">
        <v>504016</v>
      </c>
      <c r="M444" s="2" t="s">
        <v>52</v>
      </c>
      <c r="N444" s="2">
        <v>505839</v>
      </c>
      <c r="O444" t="s">
        <v>53</v>
      </c>
      <c r="P444">
        <v>3402956200</v>
      </c>
      <c r="Q444" s="5">
        <v>46038.695613425924</v>
      </c>
      <c r="R444" s="2" t="s">
        <v>62</v>
      </c>
      <c r="S444" s="2" t="s">
        <v>51</v>
      </c>
      <c r="T444" s="2" t="s">
        <v>55</v>
      </c>
      <c r="U444" s="2" t="s">
        <v>56</v>
      </c>
      <c r="V444" s="2" t="s">
        <v>57</v>
      </c>
      <c r="W444" s="2" t="s">
        <v>58</v>
      </c>
      <c r="X444" s="2" t="s">
        <v>59</v>
      </c>
      <c r="Y444" s="1">
        <v>476.82</v>
      </c>
      <c r="Z444" s="1">
        <v>476.82</v>
      </c>
      <c r="AA444" s="1">
        <v>44.99</v>
      </c>
      <c r="AB444" s="1">
        <v>23.84</v>
      </c>
      <c r="AC444" s="1">
        <v>0</v>
      </c>
      <c r="AD444" s="1">
        <v>67.009649999999993</v>
      </c>
      <c r="AE444" s="1">
        <v>545.65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418.26316000000003</v>
      </c>
      <c r="AR444" s="1">
        <v>418.26316000000003</v>
      </c>
      <c r="AS444" s="1">
        <v>104.56579000000001</v>
      </c>
      <c r="AT444" s="1">
        <v>14.6392106</v>
      </c>
      <c r="AU444" s="1">
        <v>0</v>
      </c>
      <c r="AV444" s="2" t="s">
        <v>69</v>
      </c>
      <c r="AW444" s="1">
        <v>357.61500000000001</v>
      </c>
      <c r="AX444" s="1">
        <f>Table1[[#This Row],[Original Commissionable GMV]]-Table1[[#This Row],[Commission ]]-Table1[[#This Row],[Commission VAT]]-Table1[[#This Row],[FreeDeliveryFund]]</f>
        <v>299.05815940000002</v>
      </c>
      <c r="AY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M444" s="2"/>
    </row>
    <row r="445" spans="12:65" x14ac:dyDescent="0.25">
      <c r="L445" s="2">
        <v>504016</v>
      </c>
      <c r="M445" s="2" t="s">
        <v>52</v>
      </c>
      <c r="N445" s="2">
        <v>505835</v>
      </c>
      <c r="O445" t="s">
        <v>53</v>
      </c>
      <c r="P445">
        <v>3402974647</v>
      </c>
      <c r="Q445" s="5">
        <v>46038.701388888891</v>
      </c>
      <c r="R445" s="2" t="s">
        <v>54</v>
      </c>
      <c r="S445" s="2" t="s">
        <v>51</v>
      </c>
      <c r="T445" s="2" t="s">
        <v>55</v>
      </c>
      <c r="U445" s="2" t="s">
        <v>56</v>
      </c>
      <c r="V445" s="2" t="s">
        <v>57</v>
      </c>
      <c r="W445" s="2" t="s">
        <v>58</v>
      </c>
      <c r="X445" s="2" t="s">
        <v>59</v>
      </c>
      <c r="Y445" s="1">
        <v>824.97</v>
      </c>
      <c r="Z445" s="1">
        <v>824.97</v>
      </c>
      <c r="AA445" s="1">
        <v>35.99</v>
      </c>
      <c r="AB445" s="1">
        <v>29.99</v>
      </c>
      <c r="AC445" s="1">
        <v>0</v>
      </c>
      <c r="AD445" s="1">
        <v>109.41491000000001</v>
      </c>
      <c r="AE445" s="1">
        <v>890.95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14.436975</v>
      </c>
      <c r="AP445" s="1">
        <v>2.0211765000000002</v>
      </c>
      <c r="AQ445" s="1">
        <v>723.65788999999995</v>
      </c>
      <c r="AR445" s="1">
        <v>723.65788999999995</v>
      </c>
      <c r="AS445" s="1">
        <v>180.91446999999999</v>
      </c>
      <c r="AT445" s="1">
        <v>25.328025799999999</v>
      </c>
      <c r="AU445" s="1">
        <v>0</v>
      </c>
      <c r="AV445" s="2" t="s">
        <v>69</v>
      </c>
      <c r="AW445" s="1">
        <v>602.26900000000001</v>
      </c>
      <c r="AX445" s="1">
        <f>Table1[[#This Row],[Original Commissionable GMV]]-Table1[[#This Row],[Commission ]]-Table1[[#This Row],[Commission VAT]]-Table1[[#This Row],[FreeDeliveryFund]]</f>
        <v>517.41539420000004</v>
      </c>
      <c r="AY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M445" s="2"/>
    </row>
    <row r="446" spans="12:65" x14ac:dyDescent="0.25">
      <c r="L446" s="2">
        <v>504016</v>
      </c>
      <c r="M446" s="2" t="s">
        <v>52</v>
      </c>
      <c r="N446" s="2">
        <v>505839</v>
      </c>
      <c r="O446" t="s">
        <v>63</v>
      </c>
      <c r="P446">
        <v>3402978500</v>
      </c>
      <c r="Q446" s="5">
        <v>46038.702627314815</v>
      </c>
      <c r="R446" s="2" t="s">
        <v>62</v>
      </c>
      <c r="S446" s="2" t="s">
        <v>51</v>
      </c>
      <c r="T446" s="2" t="s">
        <v>55</v>
      </c>
      <c r="U446" s="2" t="s">
        <v>56</v>
      </c>
      <c r="V446" s="2" t="s">
        <v>57</v>
      </c>
      <c r="W446" s="2" t="s">
        <v>58</v>
      </c>
      <c r="X446" s="2" t="s">
        <v>59</v>
      </c>
      <c r="Y446" s="1">
        <v>538.97</v>
      </c>
      <c r="Z446" s="1">
        <v>538.97</v>
      </c>
      <c r="AA446" s="1">
        <v>36.99</v>
      </c>
      <c r="AB446" s="1">
        <v>26.95</v>
      </c>
      <c r="AC446" s="1">
        <v>0</v>
      </c>
      <c r="AD446" s="1">
        <v>74.041579999999996</v>
      </c>
      <c r="AE446" s="1">
        <v>602.91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472.78070000000002</v>
      </c>
      <c r="AR446" s="1">
        <v>472.78070000000002</v>
      </c>
      <c r="AS446" s="1">
        <v>118.19517999999999</v>
      </c>
      <c r="AT446" s="1">
        <v>16.5473252</v>
      </c>
      <c r="AU446" s="1">
        <v>0</v>
      </c>
      <c r="AV446" s="2" t="s">
        <v>69</v>
      </c>
      <c r="AW446" s="1">
        <v>404.22699999999998</v>
      </c>
      <c r="AX446" s="1">
        <f>Table1[[#This Row],[Original Commissionable GMV]]-Table1[[#This Row],[Commission ]]-Table1[[#This Row],[Commission VAT]]-Table1[[#This Row],[FreeDeliveryFund]]</f>
        <v>338.03819480000004</v>
      </c>
      <c r="AY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M446" s="2"/>
    </row>
    <row r="447" spans="12:65" x14ac:dyDescent="0.25">
      <c r="L447" s="2">
        <v>504016</v>
      </c>
      <c r="M447" s="2" t="s">
        <v>52</v>
      </c>
      <c r="N447" s="2">
        <v>505837</v>
      </c>
      <c r="O447" t="s">
        <v>53</v>
      </c>
      <c r="P447">
        <v>3403013769</v>
      </c>
      <c r="Q447" s="5">
        <v>46038.713414351849</v>
      </c>
      <c r="R447" s="2" t="s">
        <v>62</v>
      </c>
      <c r="S447" s="2" t="s">
        <v>51</v>
      </c>
      <c r="T447" s="2" t="s">
        <v>55</v>
      </c>
      <c r="U447" s="2" t="s">
        <v>56</v>
      </c>
      <c r="V447" s="2" t="s">
        <v>57</v>
      </c>
      <c r="W447" s="2" t="s">
        <v>58</v>
      </c>
      <c r="X447" s="2" t="s">
        <v>59</v>
      </c>
      <c r="Y447" s="1">
        <v>846.02</v>
      </c>
      <c r="Z447" s="1">
        <v>846.02</v>
      </c>
      <c r="AA447" s="1">
        <v>0</v>
      </c>
      <c r="AB447" s="1">
        <v>29.99</v>
      </c>
      <c r="AC447" s="1">
        <v>0</v>
      </c>
      <c r="AD447" s="1">
        <v>107.58018</v>
      </c>
      <c r="AE447" s="1">
        <v>876.01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742.12280999999996</v>
      </c>
      <c r="AR447" s="1">
        <v>742.12280999999996</v>
      </c>
      <c r="AS447" s="1">
        <v>185.5307</v>
      </c>
      <c r="AT447" s="1">
        <v>25.974298000000001</v>
      </c>
      <c r="AU447" s="1">
        <v>33.99</v>
      </c>
      <c r="AV447" s="2" t="s">
        <v>60</v>
      </c>
      <c r="AW447" s="1">
        <v>600.52499999999998</v>
      </c>
      <c r="AX447" s="1">
        <f>Table1[[#This Row],[Original Commissionable GMV]]-Table1[[#This Row],[Commission ]]-Table1[[#This Row],[Commission VAT]]-Table1[[#This Row],[FreeDeliveryFund]]</f>
        <v>496.62781199999995</v>
      </c>
      <c r="AY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M447" s="2"/>
    </row>
    <row r="448" spans="12:65" x14ac:dyDescent="0.25">
      <c r="L448" s="2">
        <v>504016</v>
      </c>
      <c r="M448" s="2" t="s">
        <v>52</v>
      </c>
      <c r="N448" s="2">
        <v>505839</v>
      </c>
      <c r="O448" t="s">
        <v>53</v>
      </c>
      <c r="P448">
        <v>3403036188</v>
      </c>
      <c r="Q448" s="5">
        <v>46038.720289351855</v>
      </c>
      <c r="R448" s="2" t="s">
        <v>54</v>
      </c>
      <c r="S448" s="2" t="s">
        <v>51</v>
      </c>
      <c r="T448" s="2" t="s">
        <v>55</v>
      </c>
      <c r="U448" s="2" t="s">
        <v>59</v>
      </c>
      <c r="V448" s="2" t="s">
        <v>57</v>
      </c>
      <c r="W448" s="2" t="s">
        <v>58</v>
      </c>
      <c r="X448" s="2" t="s">
        <v>59</v>
      </c>
      <c r="Y448" s="1">
        <v>353.99</v>
      </c>
      <c r="Z448" s="1">
        <v>353.99</v>
      </c>
      <c r="AA448" s="1">
        <v>0</v>
      </c>
      <c r="AB448" s="1">
        <v>17.7</v>
      </c>
      <c r="AC448" s="1">
        <v>0</v>
      </c>
      <c r="AD448" s="1">
        <v>45.646140000000003</v>
      </c>
      <c r="AE448" s="1">
        <v>371.69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6.1948249999999998</v>
      </c>
      <c r="AP448" s="1">
        <v>0.86727549999999998</v>
      </c>
      <c r="AQ448" s="1">
        <v>310.51754</v>
      </c>
      <c r="AR448" s="1">
        <v>310.51754</v>
      </c>
      <c r="AS448" s="1">
        <v>77.629390000000001</v>
      </c>
      <c r="AT448" s="1">
        <v>10.8681146</v>
      </c>
      <c r="AU448" s="1">
        <v>31.99</v>
      </c>
      <c r="AV448" s="2" t="s">
        <v>60</v>
      </c>
      <c r="AW448" s="1">
        <v>226.44</v>
      </c>
      <c r="AX448" s="1">
        <f>Table1[[#This Row],[Original Commissionable GMV]]-Table1[[#This Row],[Commission ]]-Table1[[#This Row],[Commission VAT]]-Table1[[#This Row],[FreeDeliveryFund]]</f>
        <v>190.03003539999997</v>
      </c>
      <c r="AY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M448" s="2"/>
    </row>
    <row r="449" spans="12:65" x14ac:dyDescent="0.25">
      <c r="L449" s="2">
        <v>504016</v>
      </c>
      <c r="M449" s="2" t="s">
        <v>52</v>
      </c>
      <c r="N449" s="2">
        <v>505837</v>
      </c>
      <c r="O449" t="s">
        <v>53</v>
      </c>
      <c r="P449">
        <v>3403099904</v>
      </c>
      <c r="Q449" s="5">
        <v>46038.739432870374</v>
      </c>
      <c r="R449" s="2" t="s">
        <v>54</v>
      </c>
      <c r="S449" s="2" t="s">
        <v>51</v>
      </c>
      <c r="T449" s="2" t="s">
        <v>55</v>
      </c>
      <c r="U449" s="2" t="s">
        <v>56</v>
      </c>
      <c r="V449" s="2" t="s">
        <v>57</v>
      </c>
      <c r="W449" s="2" t="s">
        <v>58</v>
      </c>
      <c r="X449" s="2" t="s">
        <v>59</v>
      </c>
      <c r="Y449" s="1">
        <v>1199.94</v>
      </c>
      <c r="Z449" s="1">
        <v>1199.94</v>
      </c>
      <c r="AA449" s="1">
        <v>9</v>
      </c>
      <c r="AB449" s="1">
        <v>29.99</v>
      </c>
      <c r="AC449" s="1">
        <v>0</v>
      </c>
      <c r="AD449" s="1">
        <v>152.14930000000001</v>
      </c>
      <c r="AE449" s="1">
        <v>1238.93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20.99895175</v>
      </c>
      <c r="AP449" s="1">
        <v>2.9398532450000001</v>
      </c>
      <c r="AQ449" s="1">
        <v>1052.5789500000001</v>
      </c>
      <c r="AR449" s="1">
        <v>1052.5789500000001</v>
      </c>
      <c r="AS449" s="1">
        <v>263.14474000000001</v>
      </c>
      <c r="AT449" s="1">
        <v>36.8402636</v>
      </c>
      <c r="AU449" s="1">
        <v>32.99</v>
      </c>
      <c r="AV449" s="2" t="s">
        <v>60</v>
      </c>
      <c r="AW449" s="1">
        <v>843.02599999999995</v>
      </c>
      <c r="AX449" s="1">
        <f>Table1[[#This Row],[Original Commissionable GMV]]-Table1[[#This Row],[Commission ]]-Table1[[#This Row],[Commission VAT]]-Table1[[#This Row],[FreeDeliveryFund]]</f>
        <v>719.60394640000015</v>
      </c>
      <c r="AY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M449" s="2"/>
    </row>
    <row r="450" spans="12:65" x14ac:dyDescent="0.25">
      <c r="L450" s="2">
        <v>504016</v>
      </c>
      <c r="M450" s="2" t="s">
        <v>52</v>
      </c>
      <c r="N450" s="2">
        <v>505839</v>
      </c>
      <c r="O450" t="s">
        <v>63</v>
      </c>
      <c r="P450">
        <v>3403130090</v>
      </c>
      <c r="Q450" s="5">
        <v>46038.748287037037</v>
      </c>
      <c r="R450" s="2" t="s">
        <v>54</v>
      </c>
      <c r="S450" s="2" t="s">
        <v>51</v>
      </c>
      <c r="T450" s="2" t="s">
        <v>55</v>
      </c>
      <c r="U450" s="2" t="s">
        <v>59</v>
      </c>
      <c r="V450" s="2" t="s">
        <v>57</v>
      </c>
      <c r="W450" s="2" t="s">
        <v>58</v>
      </c>
      <c r="X450" s="2" t="s">
        <v>59</v>
      </c>
      <c r="Y450" s="1">
        <v>1316</v>
      </c>
      <c r="Z450" s="1">
        <v>1316</v>
      </c>
      <c r="AA450" s="1">
        <v>0</v>
      </c>
      <c r="AB450" s="1">
        <v>29.99</v>
      </c>
      <c r="AC450" s="1">
        <v>0</v>
      </c>
      <c r="AD450" s="1">
        <v>165.29702</v>
      </c>
      <c r="AE450" s="1">
        <v>1345.99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23.03</v>
      </c>
      <c r="AP450" s="1">
        <v>3.2242000000000002</v>
      </c>
      <c r="AQ450" s="1">
        <v>1154.3859600000001</v>
      </c>
      <c r="AR450" s="1">
        <v>1154.3859600000001</v>
      </c>
      <c r="AS450" s="1">
        <v>288.59649000000002</v>
      </c>
      <c r="AT450" s="1">
        <v>40.403508600000002</v>
      </c>
      <c r="AU450" s="1">
        <v>28.99</v>
      </c>
      <c r="AV450" s="2" t="s">
        <v>60</v>
      </c>
      <c r="AW450" s="1">
        <v>931.75599999999997</v>
      </c>
      <c r="AX450" s="1">
        <f>Table1[[#This Row],[Original Commissionable GMV]]-Table1[[#This Row],[Commission ]]-Table1[[#This Row],[Commission VAT]]-Table1[[#This Row],[FreeDeliveryFund]]</f>
        <v>796.39596140000003</v>
      </c>
      <c r="AY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M450" s="2"/>
    </row>
    <row r="451" spans="12:65" x14ac:dyDescent="0.25">
      <c r="L451" s="2">
        <v>504016</v>
      </c>
      <c r="M451" s="2" t="s">
        <v>52</v>
      </c>
      <c r="N451" s="2">
        <v>505839</v>
      </c>
      <c r="O451" t="s">
        <v>53</v>
      </c>
      <c r="P451">
        <v>3403132434</v>
      </c>
      <c r="Q451" s="5">
        <v>46038.74895833333</v>
      </c>
      <c r="R451" s="2" t="s">
        <v>54</v>
      </c>
      <c r="S451" s="2" t="s">
        <v>51</v>
      </c>
      <c r="T451" s="2" t="s">
        <v>55</v>
      </c>
      <c r="U451" s="2" t="s">
        <v>56</v>
      </c>
      <c r="V451" s="2" t="s">
        <v>57</v>
      </c>
      <c r="W451" s="2" t="s">
        <v>58</v>
      </c>
      <c r="X451" s="2" t="s">
        <v>59</v>
      </c>
      <c r="Y451" s="1">
        <v>706.64</v>
      </c>
      <c r="Z451" s="1">
        <v>706.64</v>
      </c>
      <c r="AA451" s="1">
        <v>0</v>
      </c>
      <c r="AB451" s="1">
        <v>29.99</v>
      </c>
      <c r="AC451" s="1">
        <v>0</v>
      </c>
      <c r="AD451" s="1">
        <v>90.463329999999999</v>
      </c>
      <c r="AE451" s="1">
        <v>736.63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12.366199999999999</v>
      </c>
      <c r="AP451" s="1">
        <v>1.731268</v>
      </c>
      <c r="AQ451" s="1">
        <v>619.85964999999999</v>
      </c>
      <c r="AR451" s="1">
        <v>619.85964999999999</v>
      </c>
      <c r="AS451" s="1">
        <v>154.96491</v>
      </c>
      <c r="AT451" s="1">
        <v>21.695087399999998</v>
      </c>
      <c r="AU451" s="1">
        <v>31.99</v>
      </c>
      <c r="AV451" s="2" t="s">
        <v>60</v>
      </c>
      <c r="AW451" s="1">
        <v>483.89299999999997</v>
      </c>
      <c r="AX451" s="1">
        <f>Table1[[#This Row],[Original Commissionable GMV]]-Table1[[#This Row],[Commission ]]-Table1[[#This Row],[Commission VAT]]-Table1[[#This Row],[FreeDeliveryFund]]</f>
        <v>411.20965259999997</v>
      </c>
      <c r="AY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M451" s="2"/>
    </row>
    <row r="452" spans="12:65" x14ac:dyDescent="0.25">
      <c r="L452" s="2">
        <v>504016</v>
      </c>
      <c r="M452" s="2" t="s">
        <v>52</v>
      </c>
      <c r="N452" s="2">
        <v>505837</v>
      </c>
      <c r="O452" t="s">
        <v>53</v>
      </c>
      <c r="P452">
        <v>3403169870</v>
      </c>
      <c r="Q452" s="5">
        <v>46038.759826388887</v>
      </c>
      <c r="R452" s="2" t="s">
        <v>54</v>
      </c>
      <c r="S452" s="2" t="s">
        <v>51</v>
      </c>
      <c r="T452" s="2" t="s">
        <v>55</v>
      </c>
      <c r="U452" s="2" t="s">
        <v>59</v>
      </c>
      <c r="V452" s="2" t="s">
        <v>57</v>
      </c>
      <c r="W452" s="2" t="s">
        <v>58</v>
      </c>
      <c r="X452" s="2" t="s">
        <v>59</v>
      </c>
      <c r="Y452" s="1">
        <v>250.99</v>
      </c>
      <c r="Z452" s="1">
        <v>250.99</v>
      </c>
      <c r="AA452" s="1">
        <v>0</v>
      </c>
      <c r="AB452" s="1">
        <v>12.55</v>
      </c>
      <c r="AC452" s="1">
        <v>0</v>
      </c>
      <c r="AD452" s="1">
        <v>32.364559999999997</v>
      </c>
      <c r="AE452" s="1">
        <v>263.54000000000002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4.3923249999999996</v>
      </c>
      <c r="AP452" s="1">
        <v>0.61492550000000001</v>
      </c>
      <c r="AQ452" s="1">
        <v>220.16667000000001</v>
      </c>
      <c r="AR452" s="1">
        <v>220.16667000000001</v>
      </c>
      <c r="AS452" s="1">
        <v>55.041670000000003</v>
      </c>
      <c r="AT452" s="1">
        <v>7.7058337999999997</v>
      </c>
      <c r="AU452" s="1">
        <v>30.99</v>
      </c>
      <c r="AV452" s="2" t="s">
        <v>60</v>
      </c>
      <c r="AW452" s="1">
        <v>152.245</v>
      </c>
      <c r="AX452" s="1">
        <f>Table1[[#This Row],[Original Commissionable GMV]]-Table1[[#This Row],[Commission ]]-Table1[[#This Row],[Commission VAT]]-Table1[[#This Row],[FreeDeliveryFund]]</f>
        <v>126.42916620000001</v>
      </c>
      <c r="AY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M452" s="2"/>
    </row>
    <row r="453" spans="12:65" x14ac:dyDescent="0.25">
      <c r="L453" s="2">
        <v>504016</v>
      </c>
      <c r="M453" s="2" t="s">
        <v>52</v>
      </c>
      <c r="N453" s="2">
        <v>505839</v>
      </c>
      <c r="O453" t="s">
        <v>65</v>
      </c>
      <c r="P453">
        <v>3403203629</v>
      </c>
      <c r="Q453" s="5">
        <v>46038.769513888888</v>
      </c>
      <c r="R453" s="2" t="s">
        <v>62</v>
      </c>
      <c r="S453" s="2" t="s">
        <v>51</v>
      </c>
      <c r="T453" s="2" t="s">
        <v>55</v>
      </c>
      <c r="U453" s="2" t="s">
        <v>59</v>
      </c>
      <c r="V453" s="2" t="s">
        <v>57</v>
      </c>
      <c r="W453" s="2" t="s">
        <v>58</v>
      </c>
      <c r="X453" s="2" t="s">
        <v>59</v>
      </c>
      <c r="Y453" s="1">
        <v>259.99</v>
      </c>
      <c r="Z453" s="1">
        <v>259.99</v>
      </c>
      <c r="AA453" s="1">
        <v>7</v>
      </c>
      <c r="AB453" s="1">
        <v>13</v>
      </c>
      <c r="AC453" s="1">
        <v>0</v>
      </c>
      <c r="AD453" s="1">
        <v>34.384740000000001</v>
      </c>
      <c r="AE453" s="1">
        <v>279.99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228.06139999999999</v>
      </c>
      <c r="AR453" s="1">
        <v>228.06139999999999</v>
      </c>
      <c r="AS453" s="1">
        <v>57.015349999999998</v>
      </c>
      <c r="AT453" s="1">
        <v>7.9821489999999997</v>
      </c>
      <c r="AU453" s="1">
        <v>26.99</v>
      </c>
      <c r="AV453" s="2" t="s">
        <v>60</v>
      </c>
      <c r="AW453" s="1">
        <v>168.00299999999999</v>
      </c>
      <c r="AX453" s="1">
        <f>Table1[[#This Row],[Original Commissionable GMV]]-Table1[[#This Row],[Commission ]]-Table1[[#This Row],[Commission VAT]]-Table1[[#This Row],[FreeDeliveryFund]]</f>
        <v>136.07390099999998</v>
      </c>
      <c r="AY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M453" s="2"/>
    </row>
    <row r="454" spans="12:65" x14ac:dyDescent="0.25">
      <c r="L454" s="2">
        <v>504016</v>
      </c>
      <c r="M454" s="2" t="s">
        <v>52</v>
      </c>
      <c r="N454" s="2">
        <v>505837</v>
      </c>
      <c r="O454" t="s">
        <v>63</v>
      </c>
      <c r="P454">
        <v>3403298923</v>
      </c>
      <c r="Q454" s="5">
        <v>46038.7971875</v>
      </c>
      <c r="R454" s="2" t="s">
        <v>54</v>
      </c>
      <c r="S454" s="2" t="s">
        <v>51</v>
      </c>
      <c r="T454" s="2" t="s">
        <v>55</v>
      </c>
      <c r="U454" s="2" t="s">
        <v>56</v>
      </c>
      <c r="V454" s="2" t="s">
        <v>57</v>
      </c>
      <c r="W454" s="2" t="s">
        <v>58</v>
      </c>
      <c r="X454" s="2" t="s">
        <v>59</v>
      </c>
      <c r="Y454" s="1">
        <v>367.86</v>
      </c>
      <c r="Z454" s="1">
        <v>367.86</v>
      </c>
      <c r="AA454" s="1">
        <v>0</v>
      </c>
      <c r="AB454" s="1">
        <v>18.39</v>
      </c>
      <c r="AC454" s="1">
        <v>0</v>
      </c>
      <c r="AD454" s="1">
        <v>47.43421</v>
      </c>
      <c r="AE454" s="1">
        <v>386.25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6.4375499999999999</v>
      </c>
      <c r="AP454" s="1">
        <v>0.90125699999999997</v>
      </c>
      <c r="AQ454" s="1">
        <v>322.68421000000001</v>
      </c>
      <c r="AR454" s="1">
        <v>322.68421000000001</v>
      </c>
      <c r="AS454" s="1">
        <v>80.671049999999994</v>
      </c>
      <c r="AT454" s="1">
        <v>11.293946999999999</v>
      </c>
      <c r="AU454" s="1">
        <v>29.99</v>
      </c>
      <c r="AV454" s="2" t="s">
        <v>60</v>
      </c>
      <c r="AW454" s="1">
        <v>238.566</v>
      </c>
      <c r="AX454" s="1">
        <f>Table1[[#This Row],[Original Commissionable GMV]]-Table1[[#This Row],[Commission ]]-Table1[[#This Row],[Commission VAT]]-Table1[[#This Row],[FreeDeliveryFund]]</f>
        <v>200.72921300000002</v>
      </c>
      <c r="AY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M454" s="2"/>
    </row>
    <row r="455" spans="12:65" x14ac:dyDescent="0.25">
      <c r="L455" s="2">
        <v>504016</v>
      </c>
      <c r="M455" s="2" t="s">
        <v>52</v>
      </c>
      <c r="N455" s="2">
        <v>505835</v>
      </c>
      <c r="O455" t="s">
        <v>53</v>
      </c>
      <c r="P455">
        <v>3403344634</v>
      </c>
      <c r="Q455" s="5">
        <v>46038.810648148145</v>
      </c>
      <c r="R455" s="2" t="s">
        <v>62</v>
      </c>
      <c r="S455" s="2" t="s">
        <v>51</v>
      </c>
      <c r="T455" s="2" t="s">
        <v>55</v>
      </c>
      <c r="U455" s="2" t="s">
        <v>59</v>
      </c>
      <c r="V455" s="2" t="s">
        <v>57</v>
      </c>
      <c r="W455" s="2" t="s">
        <v>58</v>
      </c>
      <c r="X455" s="2" t="s">
        <v>59</v>
      </c>
      <c r="Y455" s="1">
        <v>425.98</v>
      </c>
      <c r="Z455" s="1">
        <v>425.98</v>
      </c>
      <c r="AA455" s="1">
        <v>43.99</v>
      </c>
      <c r="AB455" s="1">
        <v>21.3</v>
      </c>
      <c r="AC455" s="1">
        <v>0</v>
      </c>
      <c r="AD455" s="1">
        <v>60.331400000000002</v>
      </c>
      <c r="AE455" s="1">
        <v>491.27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373.66667000000001</v>
      </c>
      <c r="AR455" s="1">
        <v>373.66667000000001</v>
      </c>
      <c r="AS455" s="1">
        <v>93.416669999999996</v>
      </c>
      <c r="AT455" s="1">
        <v>13.078333799999999</v>
      </c>
      <c r="AU455" s="1">
        <v>0</v>
      </c>
      <c r="AV455" s="2" t="s">
        <v>69</v>
      </c>
      <c r="AW455" s="1">
        <v>319.48500000000001</v>
      </c>
      <c r="AX455" s="1">
        <f>Table1[[#This Row],[Original Commissionable GMV]]-Table1[[#This Row],[Commission ]]-Table1[[#This Row],[Commission VAT]]-Table1[[#This Row],[FreeDeliveryFund]]</f>
        <v>267.1716662</v>
      </c>
      <c r="AY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M455" s="2"/>
    </row>
    <row r="456" spans="12:65" x14ac:dyDescent="0.25">
      <c r="L456" s="2">
        <v>504016</v>
      </c>
      <c r="M456" s="2" t="s">
        <v>52</v>
      </c>
      <c r="N456" s="2">
        <v>505837</v>
      </c>
      <c r="O456" t="s">
        <v>63</v>
      </c>
      <c r="P456">
        <v>3403357744</v>
      </c>
      <c r="Q456" s="5">
        <v>46038.814525462964</v>
      </c>
      <c r="R456" s="2" t="s">
        <v>54</v>
      </c>
      <c r="S456" s="2" t="s">
        <v>51</v>
      </c>
      <c r="T456" s="2" t="s">
        <v>55</v>
      </c>
      <c r="U456" s="2" t="s">
        <v>56</v>
      </c>
      <c r="V456" s="2" t="s">
        <v>57</v>
      </c>
      <c r="W456" s="2" t="s">
        <v>58</v>
      </c>
      <c r="X456" s="2" t="s">
        <v>59</v>
      </c>
      <c r="Y456" s="1">
        <v>321.86</v>
      </c>
      <c r="Z456" s="1">
        <v>321.86</v>
      </c>
      <c r="AA456" s="1">
        <v>29.99</v>
      </c>
      <c r="AB456" s="1">
        <v>16.09</v>
      </c>
      <c r="AC456" s="1">
        <v>0</v>
      </c>
      <c r="AD456" s="1">
        <v>45.185609999999997</v>
      </c>
      <c r="AE456" s="1">
        <v>367.94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5.6325500000000002</v>
      </c>
      <c r="AP456" s="1">
        <v>0.78855699999999995</v>
      </c>
      <c r="AQ456" s="1">
        <v>282.33332999999999</v>
      </c>
      <c r="AR456" s="1">
        <v>282.33332999999999</v>
      </c>
      <c r="AS456" s="1">
        <v>70.583330000000004</v>
      </c>
      <c r="AT456" s="1">
        <v>9.8816661999999997</v>
      </c>
      <c r="AU456" s="1">
        <v>0</v>
      </c>
      <c r="AV456" s="2" t="s">
        <v>69</v>
      </c>
      <c r="AW456" s="1">
        <v>234.97399999999999</v>
      </c>
      <c r="AX456" s="1">
        <f>Table1[[#This Row],[Original Commissionable GMV]]-Table1[[#This Row],[Commission ]]-Table1[[#This Row],[Commission VAT]]-Table1[[#This Row],[FreeDeliveryFund]]</f>
        <v>201.86833379999999</v>
      </c>
      <c r="AY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M456" s="2"/>
    </row>
    <row r="457" spans="12:65" x14ac:dyDescent="0.25">
      <c r="L457" s="2">
        <v>504016</v>
      </c>
      <c r="M457" s="2" t="s">
        <v>52</v>
      </c>
      <c r="N457" s="2">
        <v>505839</v>
      </c>
      <c r="O457" t="s">
        <v>53</v>
      </c>
      <c r="P457">
        <v>3403369882</v>
      </c>
      <c r="Q457" s="5">
        <v>46038.818182870367</v>
      </c>
      <c r="R457" s="2" t="s">
        <v>62</v>
      </c>
      <c r="S457" s="2" t="s">
        <v>51</v>
      </c>
      <c r="T457" s="2" t="s">
        <v>55</v>
      </c>
      <c r="U457" s="2" t="s">
        <v>56</v>
      </c>
      <c r="V457" s="2" t="s">
        <v>57</v>
      </c>
      <c r="W457" s="2" t="s">
        <v>58</v>
      </c>
      <c r="X457" s="2" t="s">
        <v>59</v>
      </c>
      <c r="Y457" s="1">
        <v>846.32</v>
      </c>
      <c r="Z457" s="1">
        <v>846.32</v>
      </c>
      <c r="AA457" s="1">
        <v>31.99</v>
      </c>
      <c r="AB457" s="1">
        <v>29.99</v>
      </c>
      <c r="AC457" s="1">
        <v>0</v>
      </c>
      <c r="AD457" s="1">
        <v>111.54561</v>
      </c>
      <c r="AE457" s="1">
        <v>908.3</v>
      </c>
      <c r="AF457" s="1">
        <v>1232.3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1026.5964899999999</v>
      </c>
      <c r="AR457" s="1">
        <v>1026.5964899999999</v>
      </c>
      <c r="AS457" s="1">
        <v>256.64911999999998</v>
      </c>
      <c r="AT457" s="1">
        <v>35.9308768</v>
      </c>
      <c r="AU457" s="1">
        <v>0</v>
      </c>
      <c r="AV457" s="2" t="s">
        <v>69</v>
      </c>
      <c r="AW457" s="1">
        <v>553.74</v>
      </c>
      <c r="AX457" s="1">
        <f>Table1[[#This Row],[Original Commissionable GMV]]-Table1[[#This Row],[Commission ]]-Table1[[#This Row],[Commission VAT]]-Table1[[#This Row],[FreeDeliveryFund]]</f>
        <v>734.0164931999999</v>
      </c>
      <c r="AY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M457" s="2"/>
    </row>
    <row r="458" spans="12:65" x14ac:dyDescent="0.25">
      <c r="L458" s="2">
        <v>504016</v>
      </c>
      <c r="M458" s="2" t="s">
        <v>52</v>
      </c>
      <c r="N458" s="2">
        <v>505839</v>
      </c>
      <c r="O458" t="s">
        <v>53</v>
      </c>
      <c r="P458">
        <v>3403411237</v>
      </c>
      <c r="Q458" s="5">
        <v>46038.830891203703</v>
      </c>
      <c r="R458" s="2" t="s">
        <v>54</v>
      </c>
      <c r="S458" s="2" t="s">
        <v>51</v>
      </c>
      <c r="T458" s="2" t="s">
        <v>55</v>
      </c>
      <c r="U458" s="2" t="s">
        <v>59</v>
      </c>
      <c r="V458" s="2" t="s">
        <v>57</v>
      </c>
      <c r="W458" s="2" t="s">
        <v>58</v>
      </c>
      <c r="X458" s="2" t="s">
        <v>59</v>
      </c>
      <c r="Y458" s="1">
        <v>363.99</v>
      </c>
      <c r="Z458" s="1">
        <v>363.99</v>
      </c>
      <c r="AA458" s="1">
        <v>0</v>
      </c>
      <c r="AB458" s="1">
        <v>18.2</v>
      </c>
      <c r="AC458" s="1">
        <v>0</v>
      </c>
      <c r="AD458" s="1">
        <v>46.935609999999997</v>
      </c>
      <c r="AE458" s="1">
        <v>382.19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6.3698249999999996</v>
      </c>
      <c r="AP458" s="1">
        <v>0.89177550000000005</v>
      </c>
      <c r="AQ458" s="1">
        <v>319.28946999999999</v>
      </c>
      <c r="AR458" s="1">
        <v>319.28946999999999</v>
      </c>
      <c r="AS458" s="1">
        <v>79.822370000000006</v>
      </c>
      <c r="AT458" s="1">
        <v>11.175131800000001</v>
      </c>
      <c r="AU458" s="1">
        <v>32.99</v>
      </c>
      <c r="AV458" s="2" t="s">
        <v>60</v>
      </c>
      <c r="AW458" s="1">
        <v>232.74100000000001</v>
      </c>
      <c r="AX458" s="1">
        <f>Table1[[#This Row],[Original Commissionable GMV]]-Table1[[#This Row],[Commission ]]-Table1[[#This Row],[Commission VAT]]-Table1[[#This Row],[FreeDeliveryFund]]</f>
        <v>195.30196819999998</v>
      </c>
      <c r="AY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M458" s="2"/>
    </row>
    <row r="459" spans="12:65" x14ac:dyDescent="0.25">
      <c r="L459" s="2">
        <v>504016</v>
      </c>
      <c r="M459" s="2" t="s">
        <v>52</v>
      </c>
      <c r="N459" s="2">
        <v>505837</v>
      </c>
      <c r="O459" t="s">
        <v>53</v>
      </c>
      <c r="P459">
        <v>3403447093</v>
      </c>
      <c r="Q459" s="5">
        <v>46038.842256944445</v>
      </c>
      <c r="R459" s="2" t="s">
        <v>62</v>
      </c>
      <c r="S459" s="2" t="s">
        <v>51</v>
      </c>
      <c r="T459" s="2" t="s">
        <v>55</v>
      </c>
      <c r="U459" s="2" t="s">
        <v>56</v>
      </c>
      <c r="V459" s="2" t="s">
        <v>57</v>
      </c>
      <c r="W459" s="2" t="s">
        <v>58</v>
      </c>
      <c r="X459" s="2" t="s">
        <v>59</v>
      </c>
      <c r="Y459" s="1">
        <v>1511.96</v>
      </c>
      <c r="Z459" s="1">
        <v>1511.96</v>
      </c>
      <c r="AA459" s="1">
        <v>43.99</v>
      </c>
      <c r="AB459" s="1">
        <v>29.99</v>
      </c>
      <c r="AC459" s="1">
        <v>0</v>
      </c>
      <c r="AD459" s="1">
        <v>194.76455999999999</v>
      </c>
      <c r="AE459" s="1">
        <v>1585.94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1326.2807</v>
      </c>
      <c r="AR459" s="1">
        <v>1326.2807</v>
      </c>
      <c r="AS459" s="1">
        <v>331.57017999999999</v>
      </c>
      <c r="AT459" s="1">
        <v>46.419825199999998</v>
      </c>
      <c r="AU459" s="1">
        <v>0</v>
      </c>
      <c r="AV459" s="2" t="s">
        <v>69</v>
      </c>
      <c r="AW459" s="1">
        <v>1133.97</v>
      </c>
      <c r="AX459" s="1">
        <f>Table1[[#This Row],[Original Commissionable GMV]]-Table1[[#This Row],[Commission ]]-Table1[[#This Row],[Commission VAT]]-Table1[[#This Row],[FreeDeliveryFund]]</f>
        <v>948.2906948000001</v>
      </c>
      <c r="AY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M459" s="2"/>
    </row>
    <row r="460" spans="12:65" x14ac:dyDescent="0.25">
      <c r="L460" s="2">
        <v>504016</v>
      </c>
      <c r="M460" s="2" t="s">
        <v>52</v>
      </c>
      <c r="N460" s="2">
        <v>505837</v>
      </c>
      <c r="O460" t="s">
        <v>53</v>
      </c>
      <c r="P460">
        <v>3403469357</v>
      </c>
      <c r="Q460" s="5">
        <v>46038.849456018521</v>
      </c>
      <c r="R460" s="2" t="s">
        <v>54</v>
      </c>
      <c r="S460" s="2" t="s">
        <v>51</v>
      </c>
      <c r="T460" s="2" t="s">
        <v>55</v>
      </c>
      <c r="U460" s="2" t="s">
        <v>56</v>
      </c>
      <c r="V460" s="2" t="s">
        <v>57</v>
      </c>
      <c r="W460" s="2" t="s">
        <v>58</v>
      </c>
      <c r="X460" s="2" t="s">
        <v>59</v>
      </c>
      <c r="Y460" s="1">
        <v>709.98</v>
      </c>
      <c r="Z460" s="1">
        <v>709.98</v>
      </c>
      <c r="AA460" s="1">
        <v>33.99</v>
      </c>
      <c r="AB460" s="1">
        <v>29.99</v>
      </c>
      <c r="AC460" s="1">
        <v>0</v>
      </c>
      <c r="AD460" s="1">
        <v>95.047719999999998</v>
      </c>
      <c r="AE460" s="1">
        <v>773.96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12.42465</v>
      </c>
      <c r="AP460" s="1">
        <v>1.7394510000000001</v>
      </c>
      <c r="AQ460" s="1">
        <v>622.78947000000005</v>
      </c>
      <c r="AR460" s="1">
        <v>622.78947000000005</v>
      </c>
      <c r="AS460" s="1">
        <v>155.69737000000001</v>
      </c>
      <c r="AT460" s="1">
        <v>21.797631800000001</v>
      </c>
      <c r="AU460" s="1">
        <v>0</v>
      </c>
      <c r="AV460" s="2" t="s">
        <v>69</v>
      </c>
      <c r="AW460" s="1">
        <v>518.32100000000003</v>
      </c>
      <c r="AX460" s="1">
        <f>Table1[[#This Row],[Original Commissionable GMV]]-Table1[[#This Row],[Commission ]]-Table1[[#This Row],[Commission VAT]]-Table1[[#This Row],[FreeDeliveryFund]]</f>
        <v>445.2944682000001</v>
      </c>
      <c r="AY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M460" s="2"/>
    </row>
    <row r="461" spans="12:65" x14ac:dyDescent="0.25">
      <c r="L461" s="2">
        <v>504016</v>
      </c>
      <c r="M461" s="2" t="s">
        <v>52</v>
      </c>
      <c r="N461" s="2">
        <v>505839</v>
      </c>
      <c r="O461" t="s">
        <v>53</v>
      </c>
      <c r="P461">
        <v>3403470414</v>
      </c>
      <c r="Q461" s="5">
        <v>46038.849826388891</v>
      </c>
      <c r="R461" s="2" t="s">
        <v>54</v>
      </c>
      <c r="S461" s="2" t="s">
        <v>51</v>
      </c>
      <c r="T461" s="2" t="s">
        <v>55</v>
      </c>
      <c r="U461" s="2" t="s">
        <v>59</v>
      </c>
      <c r="V461" s="2" t="s">
        <v>57</v>
      </c>
      <c r="W461" s="2" t="s">
        <v>58</v>
      </c>
      <c r="X461" s="2" t="s">
        <v>59</v>
      </c>
      <c r="Y461" s="1">
        <v>710.98</v>
      </c>
      <c r="Z461" s="1">
        <v>710.98</v>
      </c>
      <c r="AA461" s="1">
        <v>30.99</v>
      </c>
      <c r="AB461" s="1">
        <v>29.99</v>
      </c>
      <c r="AC461" s="1">
        <v>0</v>
      </c>
      <c r="AD461" s="1">
        <v>94.802109999999999</v>
      </c>
      <c r="AE461" s="1">
        <v>771.96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12.44215</v>
      </c>
      <c r="AP461" s="1">
        <v>1.7419009999999999</v>
      </c>
      <c r="AQ461" s="1">
        <v>623.66666999999995</v>
      </c>
      <c r="AR461" s="1">
        <v>623.66666999999995</v>
      </c>
      <c r="AS461" s="1">
        <v>155.91667000000001</v>
      </c>
      <c r="AT461" s="1">
        <v>21.828333799999999</v>
      </c>
      <c r="AU461" s="1">
        <v>0</v>
      </c>
      <c r="AV461" s="2" t="s">
        <v>69</v>
      </c>
      <c r="AW461" s="1">
        <v>519.05100000000004</v>
      </c>
      <c r="AX461" s="1">
        <f>Table1[[#This Row],[Original Commissionable GMV]]-Table1[[#This Row],[Commission ]]-Table1[[#This Row],[Commission VAT]]-Table1[[#This Row],[FreeDeliveryFund]]</f>
        <v>445.92166619999995</v>
      </c>
      <c r="AY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M461" s="2"/>
    </row>
    <row r="462" spans="12:65" x14ac:dyDescent="0.25">
      <c r="L462" s="2">
        <v>504016</v>
      </c>
      <c r="M462" s="2" t="s">
        <v>52</v>
      </c>
      <c r="N462" s="2">
        <v>505835</v>
      </c>
      <c r="O462" t="s">
        <v>53</v>
      </c>
      <c r="P462">
        <v>3403553230</v>
      </c>
      <c r="Q462" s="5">
        <v>46038.878206018519</v>
      </c>
      <c r="R462" s="2" t="s">
        <v>62</v>
      </c>
      <c r="S462" s="2" t="s">
        <v>51</v>
      </c>
      <c r="T462" s="2" t="s">
        <v>55</v>
      </c>
      <c r="U462" s="2" t="s">
        <v>59</v>
      </c>
      <c r="V462" s="2" t="s">
        <v>57</v>
      </c>
      <c r="W462" s="2" t="s">
        <v>58</v>
      </c>
      <c r="X462" s="2" t="s">
        <v>59</v>
      </c>
      <c r="Y462" s="1">
        <v>543.99</v>
      </c>
      <c r="Z462" s="1">
        <v>543.99</v>
      </c>
      <c r="AA462" s="1">
        <v>33.99</v>
      </c>
      <c r="AB462" s="1">
        <v>27.2</v>
      </c>
      <c r="AC462" s="1">
        <v>0</v>
      </c>
      <c r="AD462" s="1">
        <v>74.320350000000005</v>
      </c>
      <c r="AE462" s="1">
        <v>605.17999999999995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477.18421000000001</v>
      </c>
      <c r="AR462" s="1">
        <v>477.18421000000001</v>
      </c>
      <c r="AS462" s="1">
        <v>119.29604999999999</v>
      </c>
      <c r="AT462" s="1">
        <v>16.701447000000002</v>
      </c>
      <c r="AU462" s="1">
        <v>0</v>
      </c>
      <c r="AV462" s="2" t="s">
        <v>69</v>
      </c>
      <c r="AW462" s="1">
        <v>407.99299999999999</v>
      </c>
      <c r="AX462" s="1">
        <f>Table1[[#This Row],[Original Commissionable GMV]]-Table1[[#This Row],[Commission ]]-Table1[[#This Row],[Commission VAT]]-Table1[[#This Row],[FreeDeliveryFund]]</f>
        <v>341.18671300000005</v>
      </c>
      <c r="AY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M462" s="2"/>
    </row>
    <row r="463" spans="12:65" x14ac:dyDescent="0.25">
      <c r="L463" s="2">
        <v>504016</v>
      </c>
      <c r="M463" s="2" t="s">
        <v>52</v>
      </c>
      <c r="N463" s="2">
        <v>505837</v>
      </c>
      <c r="O463" t="s">
        <v>65</v>
      </c>
      <c r="P463">
        <v>3403603973</v>
      </c>
      <c r="Q463" s="5">
        <v>46038.896898148145</v>
      </c>
      <c r="R463" s="2" t="s">
        <v>62</v>
      </c>
      <c r="S463" s="2" t="s">
        <v>51</v>
      </c>
      <c r="T463" s="2" t="s">
        <v>55</v>
      </c>
      <c r="U463" s="2" t="s">
        <v>59</v>
      </c>
      <c r="V463" s="2" t="s">
        <v>57</v>
      </c>
      <c r="W463" s="2" t="s">
        <v>58</v>
      </c>
      <c r="X463" s="2" t="s">
        <v>59</v>
      </c>
      <c r="Y463" s="1">
        <v>684.99</v>
      </c>
      <c r="Z463" s="1">
        <v>684.99</v>
      </c>
      <c r="AA463" s="1">
        <v>0</v>
      </c>
      <c r="AB463" s="1">
        <v>29.99</v>
      </c>
      <c r="AC463" s="1">
        <v>0</v>
      </c>
      <c r="AD463" s="1">
        <v>87.804559999999995</v>
      </c>
      <c r="AE463" s="1">
        <v>714.98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600.86842000000001</v>
      </c>
      <c r="AR463" s="1">
        <v>600.86842000000001</v>
      </c>
      <c r="AS463" s="1">
        <v>150.21710999999999</v>
      </c>
      <c r="AT463" s="1">
        <v>21.0303954</v>
      </c>
      <c r="AU463" s="1">
        <v>30.99</v>
      </c>
      <c r="AV463" s="2" t="s">
        <v>60</v>
      </c>
      <c r="AW463" s="1">
        <v>482.75200000000001</v>
      </c>
      <c r="AX463" s="1">
        <f>Table1[[#This Row],[Original Commissionable GMV]]-Table1[[#This Row],[Commission ]]-Table1[[#This Row],[Commission VAT]]-Table1[[#This Row],[FreeDeliveryFund]]</f>
        <v>398.63091460000004</v>
      </c>
      <c r="AY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M463" s="2"/>
    </row>
    <row r="464" spans="12:65" x14ac:dyDescent="0.25">
      <c r="L464" s="2">
        <v>504016</v>
      </c>
      <c r="M464" s="2" t="s">
        <v>52</v>
      </c>
      <c r="N464" s="2">
        <v>505837</v>
      </c>
      <c r="O464" t="s">
        <v>65</v>
      </c>
      <c r="P464">
        <v>3403611785</v>
      </c>
      <c r="Q464" s="5">
        <v>46038.899942129632</v>
      </c>
      <c r="R464" s="2" t="s">
        <v>54</v>
      </c>
      <c r="S464" s="2" t="s">
        <v>51</v>
      </c>
      <c r="T464" s="2" t="s">
        <v>55</v>
      </c>
      <c r="U464" s="2" t="s">
        <v>56</v>
      </c>
      <c r="V464" s="2" t="s">
        <v>57</v>
      </c>
      <c r="W464" s="2" t="s">
        <v>58</v>
      </c>
      <c r="X464" s="2" t="s">
        <v>59</v>
      </c>
      <c r="Y464" s="1">
        <v>269.99</v>
      </c>
      <c r="Z464" s="1">
        <v>269.99</v>
      </c>
      <c r="AA464" s="1">
        <v>0</v>
      </c>
      <c r="AB464" s="1">
        <v>13.5</v>
      </c>
      <c r="AC464" s="1">
        <v>0</v>
      </c>
      <c r="AD464" s="1">
        <v>34.81456</v>
      </c>
      <c r="AE464" s="1">
        <v>283.49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4.7248250000000001</v>
      </c>
      <c r="AP464" s="1">
        <v>0.66147549999999999</v>
      </c>
      <c r="AQ464" s="1">
        <v>236.83332999999999</v>
      </c>
      <c r="AR464" s="1">
        <v>236.83332999999999</v>
      </c>
      <c r="AS464" s="1">
        <v>59.208329999999997</v>
      </c>
      <c r="AT464" s="1">
        <v>8.2891662000000004</v>
      </c>
      <c r="AU464" s="1">
        <v>28.99</v>
      </c>
      <c r="AV464" s="2" t="s">
        <v>60</v>
      </c>
      <c r="AW464" s="1">
        <v>168.11600000000001</v>
      </c>
      <c r="AX464" s="1">
        <f>Table1[[#This Row],[Original Commissionable GMV]]-Table1[[#This Row],[Commission ]]-Table1[[#This Row],[Commission VAT]]-Table1[[#This Row],[FreeDeliveryFund]]</f>
        <v>140.34583379999998</v>
      </c>
      <c r="AY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M464" s="2"/>
    </row>
    <row r="465" spans="12:65" x14ac:dyDescent="0.25">
      <c r="L465" s="2">
        <v>504016</v>
      </c>
      <c r="M465" s="2" t="s">
        <v>52</v>
      </c>
      <c r="N465" s="2">
        <v>505839</v>
      </c>
      <c r="O465" t="s">
        <v>53</v>
      </c>
      <c r="P465">
        <v>3403628786</v>
      </c>
      <c r="Q465" s="5">
        <v>46038.906597222223</v>
      </c>
      <c r="R465" s="2" t="s">
        <v>54</v>
      </c>
      <c r="S465" s="2" t="s">
        <v>51</v>
      </c>
      <c r="T465" s="2" t="s">
        <v>55</v>
      </c>
      <c r="U465" s="2" t="s">
        <v>56</v>
      </c>
      <c r="V465" s="2" t="s">
        <v>57</v>
      </c>
      <c r="W465" s="2" t="s">
        <v>58</v>
      </c>
      <c r="X465" s="2" t="s">
        <v>59</v>
      </c>
      <c r="Y465" s="1">
        <v>629.98</v>
      </c>
      <c r="Z465" s="1">
        <v>629.98</v>
      </c>
      <c r="AA465" s="1">
        <v>31.99</v>
      </c>
      <c r="AB465" s="1">
        <v>29.99</v>
      </c>
      <c r="AC465" s="1">
        <v>0</v>
      </c>
      <c r="AD465" s="1">
        <v>84.977540000000005</v>
      </c>
      <c r="AE465" s="1">
        <v>691.96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100</v>
      </c>
      <c r="AM465" s="1">
        <v>30</v>
      </c>
      <c r="AN465" s="1">
        <v>4.2</v>
      </c>
      <c r="AO465" s="1">
        <v>11.024649999999999</v>
      </c>
      <c r="AP465" s="1">
        <v>1.5434509999999999</v>
      </c>
      <c r="AQ465" s="1">
        <v>552.61404000000005</v>
      </c>
      <c r="AR465" s="1">
        <v>552.61404000000005</v>
      </c>
      <c r="AS465" s="1">
        <v>138.15351000000001</v>
      </c>
      <c r="AT465" s="1">
        <v>19.341491399999999</v>
      </c>
      <c r="AU465" s="1">
        <v>0</v>
      </c>
      <c r="AV465" s="2" t="s">
        <v>69</v>
      </c>
      <c r="AW465" s="1">
        <v>425.71699999999998</v>
      </c>
      <c r="AX465" s="1">
        <f>Table1[[#This Row],[Original Commissionable GMV]]-Table1[[#This Row],[Commission ]]-Table1[[#This Row],[Commission VAT]]-Table1[[#This Row],[FreeDeliveryFund]]</f>
        <v>395.11903860000007</v>
      </c>
      <c r="AY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M465" s="2"/>
    </row>
    <row r="466" spans="12:65" x14ac:dyDescent="0.25">
      <c r="L466" s="2">
        <v>504016</v>
      </c>
      <c r="M466" s="2" t="s">
        <v>52</v>
      </c>
      <c r="N466" s="2">
        <v>505837</v>
      </c>
      <c r="O466" t="s">
        <v>53</v>
      </c>
      <c r="P466">
        <v>3403648212</v>
      </c>
      <c r="Q466" s="5">
        <v>46038.914537037039</v>
      </c>
      <c r="R466" s="2" t="s">
        <v>54</v>
      </c>
      <c r="S466" s="2" t="s">
        <v>51</v>
      </c>
      <c r="T466" s="2" t="s">
        <v>55</v>
      </c>
      <c r="U466" s="2" t="s">
        <v>56</v>
      </c>
      <c r="V466" s="2" t="s">
        <v>57</v>
      </c>
      <c r="W466" s="2" t="s">
        <v>58</v>
      </c>
      <c r="X466" s="2" t="s">
        <v>59</v>
      </c>
      <c r="Y466" s="1">
        <v>983.98</v>
      </c>
      <c r="Z466" s="1">
        <v>983.98</v>
      </c>
      <c r="AA466" s="1">
        <v>0</v>
      </c>
      <c r="AB466" s="1">
        <v>29.99</v>
      </c>
      <c r="AC466" s="1">
        <v>0</v>
      </c>
      <c r="AD466" s="1">
        <v>124.52263000000001</v>
      </c>
      <c r="AE466" s="1">
        <v>1013.97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17.219650000000001</v>
      </c>
      <c r="AP466" s="1">
        <v>2.4107509999999999</v>
      </c>
      <c r="AQ466" s="1">
        <v>863.14035000000001</v>
      </c>
      <c r="AR466" s="1">
        <v>863.14035000000001</v>
      </c>
      <c r="AS466" s="1">
        <v>215.78509</v>
      </c>
      <c r="AT466" s="1">
        <v>30.209912599999999</v>
      </c>
      <c r="AU466" s="1">
        <v>33.99</v>
      </c>
      <c r="AV466" s="2" t="s">
        <v>60</v>
      </c>
      <c r="AW466" s="1">
        <v>684.36500000000001</v>
      </c>
      <c r="AX466" s="1">
        <f>Table1[[#This Row],[Original Commissionable GMV]]-Table1[[#This Row],[Commission ]]-Table1[[#This Row],[Commission VAT]]-Table1[[#This Row],[FreeDeliveryFund]]</f>
        <v>583.15534739999998</v>
      </c>
      <c r="AY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M466" s="2"/>
    </row>
    <row r="467" spans="12:65" x14ac:dyDescent="0.25">
      <c r="L467" s="2">
        <v>504016</v>
      </c>
      <c r="M467" s="2" t="s">
        <v>52</v>
      </c>
      <c r="N467" s="2">
        <v>505839</v>
      </c>
      <c r="O467" t="s">
        <v>53</v>
      </c>
      <c r="P467">
        <v>3403770023</v>
      </c>
      <c r="Q467" s="5">
        <v>46038.972708333335</v>
      </c>
      <c r="R467" s="2" t="s">
        <v>54</v>
      </c>
      <c r="S467" s="2" t="s">
        <v>51</v>
      </c>
      <c r="T467" s="2" t="s">
        <v>55</v>
      </c>
      <c r="U467" s="2" t="s">
        <v>56</v>
      </c>
      <c r="V467" s="2" t="s">
        <v>57</v>
      </c>
      <c r="W467" s="2" t="s">
        <v>58</v>
      </c>
      <c r="X467" s="2" t="s">
        <v>59</v>
      </c>
      <c r="Y467" s="1">
        <v>659.98</v>
      </c>
      <c r="Z467" s="1">
        <v>659.98</v>
      </c>
      <c r="AA467" s="1">
        <v>29.99</v>
      </c>
      <c r="AB467" s="1">
        <v>29.99</v>
      </c>
      <c r="AC467" s="1">
        <v>0</v>
      </c>
      <c r="AD467" s="1">
        <v>88.416139999999999</v>
      </c>
      <c r="AE467" s="1">
        <v>719.96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11.54965</v>
      </c>
      <c r="AP467" s="1">
        <v>1.616951</v>
      </c>
      <c r="AQ467" s="1">
        <v>578.92981999999995</v>
      </c>
      <c r="AR467" s="1">
        <v>578.92981999999995</v>
      </c>
      <c r="AS467" s="1">
        <v>144.73246</v>
      </c>
      <c r="AT467" s="1">
        <v>20.262544399999999</v>
      </c>
      <c r="AU467" s="1">
        <v>0</v>
      </c>
      <c r="AV467" s="2" t="s">
        <v>69</v>
      </c>
      <c r="AW467" s="1">
        <v>481.81799999999998</v>
      </c>
      <c r="AX467" s="1">
        <f>Table1[[#This Row],[Original Commissionable GMV]]-Table1[[#This Row],[Commission ]]-Table1[[#This Row],[Commission VAT]]-Table1[[#This Row],[FreeDeliveryFund]]</f>
        <v>413.93481559999992</v>
      </c>
      <c r="AY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M467" s="2"/>
    </row>
    <row r="468" spans="12:65" x14ac:dyDescent="0.25">
      <c r="L468" s="2">
        <v>504016</v>
      </c>
      <c r="M468" s="2" t="s">
        <v>52</v>
      </c>
      <c r="N468" s="2">
        <v>505839</v>
      </c>
      <c r="O468" t="s">
        <v>65</v>
      </c>
      <c r="P468">
        <v>3404350920</v>
      </c>
      <c r="Q468" s="5">
        <v>46039.5231712963</v>
      </c>
      <c r="R468" s="2" t="s">
        <v>54</v>
      </c>
      <c r="S468" s="2" t="s">
        <v>51</v>
      </c>
      <c r="T468" s="2" t="s">
        <v>55</v>
      </c>
      <c r="U468" s="2" t="s">
        <v>56</v>
      </c>
      <c r="V468" s="2" t="s">
        <v>57</v>
      </c>
      <c r="W468" s="2" t="s">
        <v>58</v>
      </c>
      <c r="X468" s="2" t="s">
        <v>59</v>
      </c>
      <c r="Y468" s="1">
        <v>441.99</v>
      </c>
      <c r="Z468" s="1">
        <v>441.99</v>
      </c>
      <c r="AA468" s="1">
        <v>0</v>
      </c>
      <c r="AB468" s="1">
        <v>22.1</v>
      </c>
      <c r="AC468" s="1">
        <v>0</v>
      </c>
      <c r="AD468" s="1">
        <v>56.993510000000001</v>
      </c>
      <c r="AE468" s="1">
        <v>464.09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30</v>
      </c>
      <c r="AN468" s="1">
        <v>4.2</v>
      </c>
      <c r="AO468" s="1">
        <v>7.7348249999999998</v>
      </c>
      <c r="AP468" s="1">
        <v>1.0828755000000001</v>
      </c>
      <c r="AQ468" s="1">
        <v>387.71053000000001</v>
      </c>
      <c r="AR468" s="1">
        <v>387.71053000000001</v>
      </c>
      <c r="AS468" s="1">
        <v>96.927629999999994</v>
      </c>
      <c r="AT468" s="1">
        <v>13.5698682</v>
      </c>
      <c r="AU468" s="1">
        <v>28.99</v>
      </c>
      <c r="AV468" s="2" t="s">
        <v>60</v>
      </c>
      <c r="AW468" s="1">
        <v>259.48500000000001</v>
      </c>
      <c r="AX468" s="1">
        <f>Table1[[#This Row],[Original Commissionable GMV]]-Table1[[#This Row],[Commission ]]-Table1[[#This Row],[Commission VAT]]-Table1[[#This Row],[FreeDeliveryFund]]</f>
        <v>248.22303180000006</v>
      </c>
      <c r="AY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M468" s="2"/>
    </row>
    <row r="469" spans="12:65" x14ac:dyDescent="0.25">
      <c r="L469" s="2">
        <v>504016</v>
      </c>
      <c r="M469" s="2" t="s">
        <v>52</v>
      </c>
      <c r="N469" s="2">
        <v>505837</v>
      </c>
      <c r="O469" t="s">
        <v>65</v>
      </c>
      <c r="P469">
        <v>3404365521</v>
      </c>
      <c r="Q469" s="5">
        <v>46039.529074074075</v>
      </c>
      <c r="R469" s="2" t="s">
        <v>62</v>
      </c>
      <c r="S469" s="2" t="s">
        <v>51</v>
      </c>
      <c r="T469" s="2" t="s">
        <v>55</v>
      </c>
      <c r="U469" s="2" t="s">
        <v>59</v>
      </c>
      <c r="V469" s="2" t="s">
        <v>57</v>
      </c>
      <c r="W469" s="2" t="s">
        <v>58</v>
      </c>
      <c r="X469" s="2" t="s">
        <v>59</v>
      </c>
      <c r="Y469" s="1">
        <v>541.98</v>
      </c>
      <c r="Z469" s="1">
        <v>541.98</v>
      </c>
      <c r="AA469" s="1">
        <v>30.99</v>
      </c>
      <c r="AB469" s="1">
        <v>27.1</v>
      </c>
      <c r="AC469" s="1">
        <v>0</v>
      </c>
      <c r="AD469" s="1">
        <v>73.692809999999994</v>
      </c>
      <c r="AE469" s="1">
        <v>600.07000000000005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475.42104999999998</v>
      </c>
      <c r="AR469" s="1">
        <v>475.42104999999998</v>
      </c>
      <c r="AS469" s="1">
        <v>118.85526</v>
      </c>
      <c r="AT469" s="1">
        <v>16.6397364</v>
      </c>
      <c r="AU469" s="1">
        <v>0</v>
      </c>
      <c r="AV469" s="2" t="s">
        <v>69</v>
      </c>
      <c r="AW469" s="1">
        <v>406.48500000000001</v>
      </c>
      <c r="AX469" s="1">
        <f>Table1[[#This Row],[Original Commissionable GMV]]-Table1[[#This Row],[Commission ]]-Table1[[#This Row],[Commission VAT]]-Table1[[#This Row],[FreeDeliveryFund]]</f>
        <v>339.92605359999999</v>
      </c>
      <c r="AY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M469" s="2"/>
    </row>
    <row r="470" spans="12:65" x14ac:dyDescent="0.25">
      <c r="L470" s="2">
        <v>504016</v>
      </c>
      <c r="M470" s="2" t="s">
        <v>52</v>
      </c>
      <c r="N470" s="2">
        <v>505839</v>
      </c>
      <c r="O470" t="s">
        <v>53</v>
      </c>
      <c r="P470">
        <v>3404403361</v>
      </c>
      <c r="Q470" s="5">
        <v>46039.544386574074</v>
      </c>
      <c r="R470" s="2" t="s">
        <v>54</v>
      </c>
      <c r="S470" s="2" t="s">
        <v>51</v>
      </c>
      <c r="T470" s="2" t="s">
        <v>55</v>
      </c>
      <c r="U470" s="2" t="s">
        <v>59</v>
      </c>
      <c r="V470" s="2" t="s">
        <v>57</v>
      </c>
      <c r="W470" s="2" t="s">
        <v>58</v>
      </c>
      <c r="X470" s="2" t="s">
        <v>59</v>
      </c>
      <c r="Y470" s="1">
        <v>784.65</v>
      </c>
      <c r="Z470" s="1">
        <v>784.65</v>
      </c>
      <c r="AA470" s="1">
        <v>33.99</v>
      </c>
      <c r="AB470" s="1">
        <v>29.99</v>
      </c>
      <c r="AC470" s="1">
        <v>0</v>
      </c>
      <c r="AD470" s="1">
        <v>104.21772</v>
      </c>
      <c r="AE470" s="1">
        <v>848.63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13.731375</v>
      </c>
      <c r="AP470" s="1">
        <v>1.9223924999999999</v>
      </c>
      <c r="AQ470" s="1">
        <v>688.28947000000005</v>
      </c>
      <c r="AR470" s="1">
        <v>688.28947000000005</v>
      </c>
      <c r="AS470" s="1">
        <v>172.07237000000001</v>
      </c>
      <c r="AT470" s="1">
        <v>24.090131800000002</v>
      </c>
      <c r="AU470" s="1">
        <v>0</v>
      </c>
      <c r="AV470" s="2" t="s">
        <v>69</v>
      </c>
      <c r="AW470" s="1">
        <v>572.83399999999995</v>
      </c>
      <c r="AX470" s="1">
        <f>Table1[[#This Row],[Original Commissionable GMV]]-Table1[[#This Row],[Commission ]]-Table1[[#This Row],[Commission VAT]]-Table1[[#This Row],[FreeDeliveryFund]]</f>
        <v>492.12696820000008</v>
      </c>
      <c r="AY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M470" s="2"/>
    </row>
    <row r="471" spans="12:65" x14ac:dyDescent="0.25">
      <c r="L471" s="2">
        <v>504016</v>
      </c>
      <c r="M471" s="2" t="s">
        <v>52</v>
      </c>
      <c r="N471" s="2">
        <v>505835</v>
      </c>
      <c r="O471" t="s">
        <v>63</v>
      </c>
      <c r="P471">
        <v>3404414475</v>
      </c>
      <c r="Q471" s="5">
        <v>46039.548773148148</v>
      </c>
      <c r="R471" s="2" t="s">
        <v>62</v>
      </c>
      <c r="S471" s="2" t="s">
        <v>51</v>
      </c>
      <c r="T471" s="2" t="s">
        <v>55</v>
      </c>
      <c r="U471" s="2" t="s">
        <v>59</v>
      </c>
      <c r="V471" s="2" t="s">
        <v>57</v>
      </c>
      <c r="W471" s="2" t="s">
        <v>58</v>
      </c>
      <c r="X471" s="2" t="s">
        <v>59</v>
      </c>
      <c r="Y471" s="1">
        <v>237.99</v>
      </c>
      <c r="Z471" s="1">
        <v>237.99</v>
      </c>
      <c r="AA471" s="1">
        <v>29.99</v>
      </c>
      <c r="AB471" s="1">
        <v>11.9</v>
      </c>
      <c r="AC471" s="1">
        <v>0</v>
      </c>
      <c r="AD471" s="1">
        <v>34.371229999999997</v>
      </c>
      <c r="AE471" s="1">
        <v>279.88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208.76316</v>
      </c>
      <c r="AR471" s="1">
        <v>208.76316</v>
      </c>
      <c r="AS471" s="1">
        <v>52.19079</v>
      </c>
      <c r="AT471" s="1">
        <v>7.3067105999999997</v>
      </c>
      <c r="AU471" s="1">
        <v>0</v>
      </c>
      <c r="AV471" s="2" t="s">
        <v>69</v>
      </c>
      <c r="AW471" s="1">
        <v>178.49199999999999</v>
      </c>
      <c r="AX471" s="1">
        <f>Table1[[#This Row],[Original Commissionable GMV]]-Table1[[#This Row],[Commission ]]-Table1[[#This Row],[Commission VAT]]-Table1[[#This Row],[FreeDeliveryFund]]</f>
        <v>149.2656594</v>
      </c>
      <c r="AY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M471" s="2"/>
    </row>
    <row r="472" spans="12:65" x14ac:dyDescent="0.25">
      <c r="L472" s="2">
        <v>504016</v>
      </c>
      <c r="M472" s="2" t="s">
        <v>52</v>
      </c>
      <c r="N472" s="2">
        <v>505839</v>
      </c>
      <c r="O472" t="s">
        <v>63</v>
      </c>
      <c r="P472">
        <v>3404470205</v>
      </c>
      <c r="Q472" s="5">
        <v>46039.571145833332</v>
      </c>
      <c r="R472" s="2" t="s">
        <v>62</v>
      </c>
      <c r="S472" s="2" t="s">
        <v>51</v>
      </c>
      <c r="T472" s="2" t="s">
        <v>55</v>
      </c>
      <c r="U472" s="2" t="s">
        <v>59</v>
      </c>
      <c r="V472" s="2" t="s">
        <v>57</v>
      </c>
      <c r="W472" s="2" t="s">
        <v>58</v>
      </c>
      <c r="X472" s="2" t="s">
        <v>59</v>
      </c>
      <c r="Y472" s="1">
        <v>499.98</v>
      </c>
      <c r="Z472" s="1">
        <v>499.98</v>
      </c>
      <c r="AA472" s="1">
        <v>29.99</v>
      </c>
      <c r="AB472" s="1">
        <v>25</v>
      </c>
      <c r="AC472" s="1">
        <v>0</v>
      </c>
      <c r="AD472" s="1">
        <v>68.154210000000006</v>
      </c>
      <c r="AE472" s="1">
        <v>554.97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438.57895000000002</v>
      </c>
      <c r="AR472" s="1">
        <v>438.57895000000002</v>
      </c>
      <c r="AS472" s="1">
        <v>109.64474</v>
      </c>
      <c r="AT472" s="1">
        <v>15.3502636</v>
      </c>
      <c r="AU472" s="1">
        <v>0</v>
      </c>
      <c r="AV472" s="2" t="s">
        <v>69</v>
      </c>
      <c r="AW472" s="1">
        <v>374.98500000000001</v>
      </c>
      <c r="AX472" s="1">
        <f>Table1[[#This Row],[Original Commissionable GMV]]-Table1[[#This Row],[Commission ]]-Table1[[#This Row],[Commission VAT]]-Table1[[#This Row],[FreeDeliveryFund]]</f>
        <v>313.5839464</v>
      </c>
      <c r="AY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M472" s="2"/>
    </row>
    <row r="473" spans="12:65" x14ac:dyDescent="0.25">
      <c r="L473" s="2">
        <v>504016</v>
      </c>
      <c r="M473" s="2" t="s">
        <v>52</v>
      </c>
      <c r="N473" s="2">
        <v>505839</v>
      </c>
      <c r="O473" t="s">
        <v>63</v>
      </c>
      <c r="P473">
        <v>3404488257</v>
      </c>
      <c r="Q473" s="5">
        <v>46039.5783912037</v>
      </c>
      <c r="R473" s="2" t="s">
        <v>54</v>
      </c>
      <c r="S473" s="2" t="s">
        <v>51</v>
      </c>
      <c r="T473" s="2" t="s">
        <v>55</v>
      </c>
      <c r="U473" s="2" t="s">
        <v>56</v>
      </c>
      <c r="V473" s="2" t="s">
        <v>57</v>
      </c>
      <c r="W473" s="2" t="s">
        <v>58</v>
      </c>
      <c r="X473" s="2" t="s">
        <v>59</v>
      </c>
      <c r="Y473" s="1">
        <v>682.18</v>
      </c>
      <c r="Z473" s="1">
        <v>682.18</v>
      </c>
      <c r="AA473" s="1">
        <v>27.99</v>
      </c>
      <c r="AB473" s="1">
        <v>29.99</v>
      </c>
      <c r="AC473" s="1">
        <v>0</v>
      </c>
      <c r="AD473" s="1">
        <v>90.896839999999997</v>
      </c>
      <c r="AE473" s="1">
        <v>740.16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11.93815</v>
      </c>
      <c r="AP473" s="1">
        <v>1.671341</v>
      </c>
      <c r="AQ473" s="1">
        <v>598.40350999999998</v>
      </c>
      <c r="AR473" s="1">
        <v>598.40350999999998</v>
      </c>
      <c r="AS473" s="1">
        <v>149.60087999999999</v>
      </c>
      <c r="AT473" s="1">
        <v>20.9441232</v>
      </c>
      <c r="AU473" s="1">
        <v>0</v>
      </c>
      <c r="AV473" s="2" t="s">
        <v>69</v>
      </c>
      <c r="AW473" s="1">
        <v>498.02600000000001</v>
      </c>
      <c r="AX473" s="1">
        <f>Table1[[#This Row],[Original Commissionable GMV]]-Table1[[#This Row],[Commission ]]-Table1[[#This Row],[Commission VAT]]-Table1[[#This Row],[FreeDeliveryFund]]</f>
        <v>427.85850680000004</v>
      </c>
      <c r="AY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M473" s="2"/>
    </row>
    <row r="474" spans="12:65" x14ac:dyDescent="0.25">
      <c r="L474" s="2">
        <v>504016</v>
      </c>
      <c r="M474" s="2" t="s">
        <v>52</v>
      </c>
      <c r="N474" s="2">
        <v>505839</v>
      </c>
      <c r="O474" t="s">
        <v>53</v>
      </c>
      <c r="P474">
        <v>3404535936</v>
      </c>
      <c r="Q474" s="5">
        <v>46039.597280092596</v>
      </c>
      <c r="R474" s="2" t="s">
        <v>62</v>
      </c>
      <c r="S474" s="2" t="s">
        <v>51</v>
      </c>
      <c r="T474" s="2" t="s">
        <v>55</v>
      </c>
      <c r="U474" s="2" t="s">
        <v>56</v>
      </c>
      <c r="V474" s="2" t="s">
        <v>57</v>
      </c>
      <c r="W474" s="2" t="s">
        <v>58</v>
      </c>
      <c r="X474" s="2" t="s">
        <v>59</v>
      </c>
      <c r="Y474" s="1">
        <v>329.99</v>
      </c>
      <c r="Z474" s="1">
        <v>329.99</v>
      </c>
      <c r="AA474" s="1">
        <v>31.99</v>
      </c>
      <c r="AB474" s="1">
        <v>16.5</v>
      </c>
      <c r="AC474" s="1">
        <v>0</v>
      </c>
      <c r="AD474" s="1">
        <v>46.48</v>
      </c>
      <c r="AE474" s="1">
        <v>378.48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289.46490999999997</v>
      </c>
      <c r="AR474" s="1">
        <v>289.46490999999997</v>
      </c>
      <c r="AS474" s="1">
        <v>72.366230000000002</v>
      </c>
      <c r="AT474" s="1">
        <v>10.1312722</v>
      </c>
      <c r="AU474" s="1">
        <v>0</v>
      </c>
      <c r="AV474" s="2" t="s">
        <v>69</v>
      </c>
      <c r="AW474" s="1">
        <v>247.49199999999999</v>
      </c>
      <c r="AX474" s="1">
        <f>Table1[[#This Row],[Original Commissionable GMV]]-Table1[[#This Row],[Commission ]]-Table1[[#This Row],[Commission VAT]]-Table1[[#This Row],[FreeDeliveryFund]]</f>
        <v>206.96740779999996</v>
      </c>
      <c r="AY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M474" s="2"/>
    </row>
    <row r="475" spans="12:65" x14ac:dyDescent="0.25">
      <c r="L475" s="2">
        <v>504016</v>
      </c>
      <c r="M475" s="2" t="s">
        <v>52</v>
      </c>
      <c r="N475" s="2">
        <v>505837</v>
      </c>
      <c r="O475" t="s">
        <v>53</v>
      </c>
      <c r="P475">
        <v>3404553447</v>
      </c>
      <c r="Q475" s="5">
        <v>46039.604039351849</v>
      </c>
      <c r="R475" s="2" t="s">
        <v>54</v>
      </c>
      <c r="S475" s="2" t="s">
        <v>51</v>
      </c>
      <c r="T475" s="2" t="s">
        <v>55</v>
      </c>
      <c r="U475" s="2" t="s">
        <v>56</v>
      </c>
      <c r="V475" s="2" t="s">
        <v>57</v>
      </c>
      <c r="W475" s="2" t="s">
        <v>58</v>
      </c>
      <c r="X475" s="2" t="s">
        <v>59</v>
      </c>
      <c r="Y475" s="1">
        <v>693.65</v>
      </c>
      <c r="Z475" s="1">
        <v>693.65</v>
      </c>
      <c r="AA475" s="1">
        <v>0</v>
      </c>
      <c r="AB475" s="1">
        <v>29.99</v>
      </c>
      <c r="AC475" s="1">
        <v>0</v>
      </c>
      <c r="AD475" s="1">
        <v>88.868070000000003</v>
      </c>
      <c r="AE475" s="1">
        <v>723.64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12.138875000000001</v>
      </c>
      <c r="AP475" s="1">
        <v>1.6994425</v>
      </c>
      <c r="AQ475" s="1">
        <v>608.46491000000003</v>
      </c>
      <c r="AR475" s="1">
        <v>608.46491000000003</v>
      </c>
      <c r="AS475" s="1">
        <v>152.11623</v>
      </c>
      <c r="AT475" s="1">
        <v>21.296272200000001</v>
      </c>
      <c r="AU475" s="1">
        <v>30.99</v>
      </c>
      <c r="AV475" s="2" t="s">
        <v>60</v>
      </c>
      <c r="AW475" s="1">
        <v>475.40899999999999</v>
      </c>
      <c r="AX475" s="1">
        <f>Table1[[#This Row],[Original Commissionable GMV]]-Table1[[#This Row],[Commission ]]-Table1[[#This Row],[Commission VAT]]-Table1[[#This Row],[FreeDeliveryFund]]</f>
        <v>404.06240780000007</v>
      </c>
      <c r="AY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M475" s="2"/>
    </row>
    <row r="476" spans="12:65" x14ac:dyDescent="0.25">
      <c r="L476" s="2">
        <v>504016</v>
      </c>
      <c r="M476" s="2" t="s">
        <v>52</v>
      </c>
      <c r="N476" s="2">
        <v>505839</v>
      </c>
      <c r="O476" t="s">
        <v>65</v>
      </c>
      <c r="P476">
        <v>3404576420</v>
      </c>
      <c r="Q476" s="5">
        <v>46039.612962962965</v>
      </c>
      <c r="R476" s="2" t="s">
        <v>54</v>
      </c>
      <c r="S476" s="2" t="s">
        <v>51</v>
      </c>
      <c r="T476" s="2" t="s">
        <v>55</v>
      </c>
      <c r="U476" s="2" t="s">
        <v>59</v>
      </c>
      <c r="V476" s="2" t="s">
        <v>57</v>
      </c>
      <c r="W476" s="2" t="s">
        <v>58</v>
      </c>
      <c r="X476" s="2" t="s">
        <v>59</v>
      </c>
      <c r="Y476" s="1">
        <v>950.66</v>
      </c>
      <c r="Z476" s="1">
        <v>950.66</v>
      </c>
      <c r="AA476" s="1">
        <v>27.99</v>
      </c>
      <c r="AB476" s="1">
        <v>29.99</v>
      </c>
      <c r="AC476" s="1">
        <v>0</v>
      </c>
      <c r="AD476" s="1">
        <v>123.86807</v>
      </c>
      <c r="AE476" s="1">
        <v>1008.64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30</v>
      </c>
      <c r="AN476" s="1">
        <v>4.2</v>
      </c>
      <c r="AO476" s="1">
        <v>16.63655</v>
      </c>
      <c r="AP476" s="1">
        <v>2.3291170000000001</v>
      </c>
      <c r="AQ476" s="1">
        <v>833.91228000000001</v>
      </c>
      <c r="AR476" s="1">
        <v>833.91228000000001</v>
      </c>
      <c r="AS476" s="1">
        <v>208.47807</v>
      </c>
      <c r="AT476" s="1">
        <v>29.186929800000001</v>
      </c>
      <c r="AU476" s="1">
        <v>0</v>
      </c>
      <c r="AV476" s="2" t="s">
        <v>69</v>
      </c>
      <c r="AW476" s="1">
        <v>659.82899999999995</v>
      </c>
      <c r="AX476" s="1">
        <f>Table1[[#This Row],[Original Commissionable GMV]]-Table1[[#This Row],[Commission ]]-Table1[[#This Row],[Commission VAT]]-Table1[[#This Row],[FreeDeliveryFund]]</f>
        <v>596.24728019999998</v>
      </c>
      <c r="AY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M476" s="2"/>
    </row>
    <row r="477" spans="12:65" x14ac:dyDescent="0.25">
      <c r="L477" s="2">
        <v>504016</v>
      </c>
      <c r="M477" s="2" t="s">
        <v>52</v>
      </c>
      <c r="N477" s="2">
        <v>505839</v>
      </c>
      <c r="O477" t="s">
        <v>53</v>
      </c>
      <c r="P477">
        <v>3404656550</v>
      </c>
      <c r="Q477" s="5">
        <v>46039.643287037034</v>
      </c>
      <c r="R477" s="2" t="s">
        <v>62</v>
      </c>
      <c r="S477" s="2" t="s">
        <v>51</v>
      </c>
      <c r="T477" s="2" t="s">
        <v>55</v>
      </c>
      <c r="U477" s="2" t="s">
        <v>56</v>
      </c>
      <c r="V477" s="2" t="s">
        <v>57</v>
      </c>
      <c r="W477" s="2" t="s">
        <v>58</v>
      </c>
      <c r="X477" s="2" t="s">
        <v>59</v>
      </c>
      <c r="Y477" s="1">
        <v>1939.77</v>
      </c>
      <c r="Z477" s="1">
        <v>1939.77</v>
      </c>
      <c r="AA477" s="1">
        <v>35.99</v>
      </c>
      <c r="AB477" s="1">
        <v>29.99</v>
      </c>
      <c r="AC477" s="1">
        <v>0</v>
      </c>
      <c r="AD477" s="1">
        <v>246.32017999999999</v>
      </c>
      <c r="AE477" s="1">
        <v>2005.75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1701.5526299999999</v>
      </c>
      <c r="AR477" s="1">
        <v>1701.5526299999999</v>
      </c>
      <c r="AS477" s="1">
        <v>425.38816000000003</v>
      </c>
      <c r="AT477" s="1">
        <v>59.554342400000003</v>
      </c>
      <c r="AU477" s="1">
        <v>0</v>
      </c>
      <c r="AV477" s="2" t="s">
        <v>69</v>
      </c>
      <c r="AW477" s="1">
        <v>1454.827</v>
      </c>
      <c r="AX477" s="1">
        <f>Table1[[#This Row],[Original Commissionable GMV]]-Table1[[#This Row],[Commission ]]-Table1[[#This Row],[Commission VAT]]-Table1[[#This Row],[FreeDeliveryFund]]</f>
        <v>1216.6101275999999</v>
      </c>
      <c r="AY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M477" s="2"/>
    </row>
    <row r="478" spans="12:65" x14ac:dyDescent="0.25">
      <c r="L478" s="2">
        <v>504016</v>
      </c>
      <c r="M478" s="2" t="s">
        <v>52</v>
      </c>
      <c r="N478" s="2">
        <v>505839</v>
      </c>
      <c r="O478" t="s">
        <v>53</v>
      </c>
      <c r="P478">
        <v>3404659530</v>
      </c>
      <c r="Q478" s="5">
        <v>46039.644386574073</v>
      </c>
      <c r="R478" s="2" t="s">
        <v>54</v>
      </c>
      <c r="S478" s="2" t="s">
        <v>51</v>
      </c>
      <c r="T478" s="2" t="s">
        <v>55</v>
      </c>
      <c r="U478" s="2" t="s">
        <v>56</v>
      </c>
      <c r="V478" s="2" t="s">
        <v>57</v>
      </c>
      <c r="W478" s="2" t="s">
        <v>58</v>
      </c>
      <c r="X478" s="2" t="s">
        <v>59</v>
      </c>
      <c r="Y478" s="1">
        <v>509.98</v>
      </c>
      <c r="Z478" s="1">
        <v>509.98</v>
      </c>
      <c r="AA478" s="1">
        <v>0</v>
      </c>
      <c r="AB478" s="1">
        <v>25.5</v>
      </c>
      <c r="AC478" s="1">
        <v>0</v>
      </c>
      <c r="AD478" s="1">
        <v>65.7607</v>
      </c>
      <c r="AE478" s="1">
        <v>535.48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30</v>
      </c>
      <c r="AN478" s="1">
        <v>4.2</v>
      </c>
      <c r="AO478" s="1">
        <v>8.9246499999999997</v>
      </c>
      <c r="AP478" s="1">
        <v>1.2494510000000001</v>
      </c>
      <c r="AQ478" s="1">
        <v>447.35088000000002</v>
      </c>
      <c r="AR478" s="1">
        <v>447.35088000000002</v>
      </c>
      <c r="AS478" s="1">
        <v>111.83772</v>
      </c>
      <c r="AT478" s="1">
        <v>15.657280800000001</v>
      </c>
      <c r="AU478" s="1">
        <v>30.99</v>
      </c>
      <c r="AV478" s="2" t="s">
        <v>60</v>
      </c>
      <c r="AW478" s="1">
        <v>307.12099999999998</v>
      </c>
      <c r="AX478" s="1">
        <f>Table1[[#This Row],[Original Commissionable GMV]]-Table1[[#This Row],[Commission ]]-Table1[[#This Row],[Commission VAT]]-Table1[[#This Row],[FreeDeliveryFund]]</f>
        <v>288.86587919999999</v>
      </c>
      <c r="AY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M478" s="2"/>
    </row>
    <row r="479" spans="12:65" x14ac:dyDescent="0.25">
      <c r="L479" s="2">
        <v>504016</v>
      </c>
      <c r="M479" s="2" t="s">
        <v>52</v>
      </c>
      <c r="N479" s="2">
        <v>505837</v>
      </c>
      <c r="O479" t="s">
        <v>53</v>
      </c>
      <c r="P479">
        <v>3404666161</v>
      </c>
      <c r="Q479" s="5">
        <v>46039.646782407406</v>
      </c>
      <c r="R479" s="2" t="s">
        <v>54</v>
      </c>
      <c r="S479" s="2" t="s">
        <v>51</v>
      </c>
      <c r="T479" s="2" t="s">
        <v>55</v>
      </c>
      <c r="U479" s="2" t="s">
        <v>59</v>
      </c>
      <c r="V479" s="2" t="s">
        <v>57</v>
      </c>
      <c r="W479" s="2" t="s">
        <v>58</v>
      </c>
      <c r="X479" s="2" t="s">
        <v>59</v>
      </c>
      <c r="Y479" s="1">
        <v>1354.21</v>
      </c>
      <c r="Z479" s="1">
        <v>1354.21</v>
      </c>
      <c r="AA479" s="1">
        <v>43.99</v>
      </c>
      <c r="AB479" s="1">
        <v>29.99</v>
      </c>
      <c r="AC479" s="1">
        <v>0</v>
      </c>
      <c r="AD479" s="1">
        <v>175.39175</v>
      </c>
      <c r="AE479" s="1">
        <v>1428.19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23.698673249999999</v>
      </c>
      <c r="AP479" s="1">
        <v>3.317814255</v>
      </c>
      <c r="AQ479" s="1">
        <v>1187.9035100000001</v>
      </c>
      <c r="AR479" s="1">
        <v>1187.9035100000001</v>
      </c>
      <c r="AS479" s="1">
        <v>296.97588000000002</v>
      </c>
      <c r="AT479" s="1">
        <v>41.5766232</v>
      </c>
      <c r="AU479" s="1">
        <v>0</v>
      </c>
      <c r="AV479" s="2" t="s">
        <v>69</v>
      </c>
      <c r="AW479" s="1">
        <v>988.64099999999996</v>
      </c>
      <c r="AX479" s="1">
        <f>Table1[[#This Row],[Original Commissionable GMV]]-Table1[[#This Row],[Commission ]]-Table1[[#This Row],[Commission VAT]]-Table1[[#This Row],[FreeDeliveryFund]]</f>
        <v>849.35100680000016</v>
      </c>
      <c r="AY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M479" s="2"/>
    </row>
    <row r="480" spans="12:65" x14ac:dyDescent="0.25">
      <c r="L480" s="2">
        <v>504016</v>
      </c>
      <c r="M480" s="2" t="s">
        <v>52</v>
      </c>
      <c r="N480" s="2">
        <v>505839</v>
      </c>
      <c r="O480" t="s">
        <v>53</v>
      </c>
      <c r="P480">
        <v>3404762043</v>
      </c>
      <c r="Q480" s="5">
        <v>46039.681956018518</v>
      </c>
      <c r="R480" s="2" t="s">
        <v>54</v>
      </c>
      <c r="S480" s="2" t="s">
        <v>51</v>
      </c>
      <c r="T480" s="2" t="s">
        <v>55</v>
      </c>
      <c r="U480" s="2" t="s">
        <v>56</v>
      </c>
      <c r="V480" s="2" t="s">
        <v>57</v>
      </c>
      <c r="W480" s="2" t="s">
        <v>58</v>
      </c>
      <c r="X480" s="2" t="s">
        <v>59</v>
      </c>
      <c r="Y480" s="1">
        <v>859.98</v>
      </c>
      <c r="Z480" s="1">
        <v>859.98</v>
      </c>
      <c r="AA480" s="1">
        <v>9</v>
      </c>
      <c r="AB480" s="1">
        <v>29.99</v>
      </c>
      <c r="AC480" s="1">
        <v>0</v>
      </c>
      <c r="AD480" s="1">
        <v>110.39982000000001</v>
      </c>
      <c r="AE480" s="1">
        <v>898.97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15.04965</v>
      </c>
      <c r="AP480" s="1">
        <v>2.106951</v>
      </c>
      <c r="AQ480" s="1">
        <v>754.36842000000001</v>
      </c>
      <c r="AR480" s="1">
        <v>754.36842000000001</v>
      </c>
      <c r="AS480" s="1">
        <v>188.59210999999999</v>
      </c>
      <c r="AT480" s="1">
        <v>26.402895399999998</v>
      </c>
      <c r="AU480" s="1">
        <v>32.99</v>
      </c>
      <c r="AV480" s="2" t="s">
        <v>60</v>
      </c>
      <c r="AW480" s="1">
        <v>594.83799999999997</v>
      </c>
      <c r="AX480" s="1">
        <f>Table1[[#This Row],[Original Commissionable GMV]]-Table1[[#This Row],[Commission ]]-Table1[[#This Row],[Commission VAT]]-Table1[[#This Row],[FreeDeliveryFund]]</f>
        <v>506.38341459999992</v>
      </c>
      <c r="AY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M480" s="2"/>
    </row>
    <row r="481" spans="12:65" x14ac:dyDescent="0.25">
      <c r="L481" s="2">
        <v>504016</v>
      </c>
      <c r="M481" s="2" t="s">
        <v>52</v>
      </c>
      <c r="N481" s="2">
        <v>505839</v>
      </c>
      <c r="O481" t="s">
        <v>63</v>
      </c>
      <c r="P481">
        <v>3404790698</v>
      </c>
      <c r="Q481" s="5">
        <v>46039.691886574074</v>
      </c>
      <c r="R481" s="2" t="s">
        <v>66</v>
      </c>
      <c r="S481" s="2" t="s">
        <v>51</v>
      </c>
      <c r="T481" s="2" t="s">
        <v>55</v>
      </c>
      <c r="U481" s="2" t="s">
        <v>56</v>
      </c>
      <c r="V481" s="2" t="s">
        <v>57</v>
      </c>
      <c r="W481" s="2" t="s">
        <v>58</v>
      </c>
      <c r="X481" s="2" t="s">
        <v>59</v>
      </c>
      <c r="Y481" s="1">
        <v>245.99</v>
      </c>
      <c r="Z481" s="1">
        <v>245.99</v>
      </c>
      <c r="AA481" s="1">
        <v>0</v>
      </c>
      <c r="AB481" s="1">
        <v>12.3</v>
      </c>
      <c r="AC481" s="1">
        <v>0</v>
      </c>
      <c r="AD481" s="1">
        <v>31.719819999999999</v>
      </c>
      <c r="AE481" s="1">
        <v>258.29000000000002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4.3048250000000001</v>
      </c>
      <c r="AP481" s="1">
        <v>0.60267550000000003</v>
      </c>
      <c r="AQ481" s="1">
        <v>215.7807</v>
      </c>
      <c r="AR481" s="1">
        <v>215.7807</v>
      </c>
      <c r="AS481" s="1">
        <v>53.945180000000001</v>
      </c>
      <c r="AT481" s="1">
        <v>7.5523252000000003</v>
      </c>
      <c r="AU481" s="1">
        <v>28.99</v>
      </c>
      <c r="AV481" s="2" t="s">
        <v>60</v>
      </c>
      <c r="AW481" s="1">
        <v>150.595</v>
      </c>
      <c r="AX481" s="1">
        <f>Table1[[#This Row],[Original Commissionable GMV]]-Table1[[#This Row],[Commission ]]-Table1[[#This Row],[Commission VAT]]-Table1[[#This Row],[FreeDeliveryFund]]</f>
        <v>125.29319479999999</v>
      </c>
      <c r="AY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M481" s="2"/>
    </row>
    <row r="482" spans="12:65" x14ac:dyDescent="0.25">
      <c r="L482" s="2">
        <v>504016</v>
      </c>
      <c r="M482" s="2" t="s">
        <v>52</v>
      </c>
      <c r="N482" s="2">
        <v>505835</v>
      </c>
      <c r="O482" t="s">
        <v>63</v>
      </c>
      <c r="P482">
        <v>3404803030</v>
      </c>
      <c r="Q482" s="5">
        <v>46039.69604166667</v>
      </c>
      <c r="R482" s="2" t="s">
        <v>62</v>
      </c>
      <c r="S482" s="2" t="s">
        <v>51</v>
      </c>
      <c r="T482" s="2" t="s">
        <v>55</v>
      </c>
      <c r="U482" s="2" t="s">
        <v>56</v>
      </c>
      <c r="V482" s="2" t="s">
        <v>57</v>
      </c>
      <c r="W482" s="2" t="s">
        <v>58</v>
      </c>
      <c r="X482" s="2" t="s">
        <v>59</v>
      </c>
      <c r="Y482" s="1">
        <v>392.63</v>
      </c>
      <c r="Z482" s="1">
        <v>392.63</v>
      </c>
      <c r="AA482" s="1">
        <v>0</v>
      </c>
      <c r="AB482" s="1">
        <v>19.63</v>
      </c>
      <c r="AC482" s="1">
        <v>0</v>
      </c>
      <c r="AD482" s="1">
        <v>50.628419999999998</v>
      </c>
      <c r="AE482" s="1">
        <v>412.26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30</v>
      </c>
      <c r="AN482" s="1">
        <v>4.2</v>
      </c>
      <c r="AO482" s="1">
        <v>0</v>
      </c>
      <c r="AP482" s="1">
        <v>0</v>
      </c>
      <c r="AQ482" s="1">
        <v>344.41228000000001</v>
      </c>
      <c r="AR482" s="1">
        <v>344.41228000000001</v>
      </c>
      <c r="AS482" s="1">
        <v>86.103070000000002</v>
      </c>
      <c r="AT482" s="1">
        <v>12.054429799999999</v>
      </c>
      <c r="AU482" s="1">
        <v>26.99</v>
      </c>
      <c r="AV482" s="2" t="s">
        <v>60</v>
      </c>
      <c r="AW482" s="1">
        <v>233.28299999999999</v>
      </c>
      <c r="AX482" s="1">
        <f>Table1[[#This Row],[Original Commissionable GMV]]-Table1[[#This Row],[Commission ]]-Table1[[#This Row],[Commission VAT]]-Table1[[#This Row],[FreeDeliveryFund]]</f>
        <v>219.26478019999999</v>
      </c>
      <c r="AY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M482" s="2"/>
    </row>
    <row r="483" spans="12:65" x14ac:dyDescent="0.25">
      <c r="L483" s="2">
        <v>504016</v>
      </c>
      <c r="M483" s="2" t="s">
        <v>52</v>
      </c>
      <c r="N483" s="2">
        <v>505835</v>
      </c>
      <c r="O483" t="s">
        <v>63</v>
      </c>
      <c r="P483">
        <v>3404836480</v>
      </c>
      <c r="Q483" s="5">
        <v>46039.706979166665</v>
      </c>
      <c r="R483" s="2" t="s">
        <v>54</v>
      </c>
      <c r="S483" s="2" t="s">
        <v>51</v>
      </c>
      <c r="T483" s="2" t="s">
        <v>55</v>
      </c>
      <c r="U483" s="2" t="s">
        <v>56</v>
      </c>
      <c r="V483" s="2" t="s">
        <v>57</v>
      </c>
      <c r="W483" s="2" t="s">
        <v>58</v>
      </c>
      <c r="X483" s="2" t="s">
        <v>59</v>
      </c>
      <c r="Y483" s="1">
        <v>791.97</v>
      </c>
      <c r="Z483" s="1">
        <v>791.97</v>
      </c>
      <c r="AA483" s="1">
        <v>0</v>
      </c>
      <c r="AB483" s="1">
        <v>29.99</v>
      </c>
      <c r="AC483" s="1">
        <v>0</v>
      </c>
      <c r="AD483" s="1">
        <v>100.94246</v>
      </c>
      <c r="AE483" s="1">
        <v>821.96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60</v>
      </c>
      <c r="AM483" s="1">
        <v>0</v>
      </c>
      <c r="AN483" s="1">
        <v>0</v>
      </c>
      <c r="AO483" s="1">
        <v>13.859475</v>
      </c>
      <c r="AP483" s="1">
        <v>1.9403265000000001</v>
      </c>
      <c r="AQ483" s="1">
        <v>694.71052999999995</v>
      </c>
      <c r="AR483" s="1">
        <v>694.71052999999995</v>
      </c>
      <c r="AS483" s="1">
        <v>173.67762999999999</v>
      </c>
      <c r="AT483" s="1">
        <v>24.314868199999999</v>
      </c>
      <c r="AU483" s="1">
        <v>29.99</v>
      </c>
      <c r="AV483" s="2" t="s">
        <v>60</v>
      </c>
      <c r="AW483" s="1">
        <v>548.18799999999999</v>
      </c>
      <c r="AX483" s="1">
        <f>Table1[[#This Row],[Original Commissionable GMV]]-Table1[[#This Row],[Commission ]]-Table1[[#This Row],[Commission VAT]]-Table1[[#This Row],[FreeDeliveryFund]]</f>
        <v>466.72803179999994</v>
      </c>
      <c r="AY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M483" s="2"/>
    </row>
    <row r="484" spans="12:65" x14ac:dyDescent="0.25">
      <c r="L484" s="2">
        <v>504016</v>
      </c>
      <c r="M484" s="2" t="s">
        <v>52</v>
      </c>
      <c r="N484" s="2">
        <v>505837</v>
      </c>
      <c r="O484" t="s">
        <v>63</v>
      </c>
      <c r="P484">
        <v>3404840197</v>
      </c>
      <c r="Q484" s="5">
        <v>46039.708194444444</v>
      </c>
      <c r="R484" s="2" t="s">
        <v>54</v>
      </c>
      <c r="S484" s="2" t="s">
        <v>51</v>
      </c>
      <c r="T484" s="2" t="s">
        <v>55</v>
      </c>
      <c r="U484" s="2" t="s">
        <v>56</v>
      </c>
      <c r="V484" s="2" t="s">
        <v>57</v>
      </c>
      <c r="W484" s="2" t="s">
        <v>58</v>
      </c>
      <c r="X484" s="2" t="s">
        <v>59</v>
      </c>
      <c r="Y484" s="1">
        <v>1132.25</v>
      </c>
      <c r="Z484" s="1">
        <v>1132.25</v>
      </c>
      <c r="AA484" s="1">
        <v>29.99</v>
      </c>
      <c r="AB484" s="1">
        <v>29.99</v>
      </c>
      <c r="AC484" s="1">
        <v>0</v>
      </c>
      <c r="AD484" s="1">
        <v>146.41421</v>
      </c>
      <c r="AE484" s="1">
        <v>1192.23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19.814374999999998</v>
      </c>
      <c r="AP484" s="1">
        <v>2.7740125</v>
      </c>
      <c r="AQ484" s="1">
        <v>993.20174999999995</v>
      </c>
      <c r="AR484" s="1">
        <v>993.20174999999995</v>
      </c>
      <c r="AS484" s="1">
        <v>248.30044000000001</v>
      </c>
      <c r="AT484" s="1">
        <v>34.762061600000003</v>
      </c>
      <c r="AU484" s="1">
        <v>0</v>
      </c>
      <c r="AV484" s="2" t="s">
        <v>69</v>
      </c>
      <c r="AW484" s="1">
        <v>826.59900000000005</v>
      </c>
      <c r="AX484" s="1">
        <f>Table1[[#This Row],[Original Commissionable GMV]]-Table1[[#This Row],[Commission ]]-Table1[[#This Row],[Commission VAT]]-Table1[[#This Row],[FreeDeliveryFund]]</f>
        <v>710.13924839999993</v>
      </c>
      <c r="AY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M484" s="2"/>
    </row>
    <row r="485" spans="12:65" x14ac:dyDescent="0.25">
      <c r="L485" s="2">
        <v>504016</v>
      </c>
      <c r="M485" s="2" t="s">
        <v>52</v>
      </c>
      <c r="N485" s="2">
        <v>505837</v>
      </c>
      <c r="O485" t="s">
        <v>53</v>
      </c>
      <c r="P485">
        <v>3404843761</v>
      </c>
      <c r="Q485" s="5">
        <v>46039.709363425929</v>
      </c>
      <c r="R485" s="2" t="s">
        <v>54</v>
      </c>
      <c r="S485" s="2" t="s">
        <v>51</v>
      </c>
      <c r="T485" s="2" t="s">
        <v>55</v>
      </c>
      <c r="U485" s="2" t="s">
        <v>56</v>
      </c>
      <c r="V485" s="2" t="s">
        <v>57</v>
      </c>
      <c r="W485" s="2" t="s">
        <v>58</v>
      </c>
      <c r="X485" s="2" t="s">
        <v>59</v>
      </c>
      <c r="Y485" s="1">
        <v>639.99</v>
      </c>
      <c r="Z485" s="1">
        <v>639.99</v>
      </c>
      <c r="AA485" s="1">
        <v>31.99</v>
      </c>
      <c r="AB485" s="1">
        <v>29.99</v>
      </c>
      <c r="AC485" s="1">
        <v>0</v>
      </c>
      <c r="AD485" s="1">
        <v>86.20684</v>
      </c>
      <c r="AE485" s="1">
        <v>701.97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30</v>
      </c>
      <c r="AN485" s="1">
        <v>4.2</v>
      </c>
      <c r="AO485" s="1">
        <v>11.199825000000001</v>
      </c>
      <c r="AP485" s="1">
        <v>1.5679755</v>
      </c>
      <c r="AQ485" s="1">
        <v>561.39473999999996</v>
      </c>
      <c r="AR485" s="1">
        <v>561.39473999999996</v>
      </c>
      <c r="AS485" s="1">
        <v>140.34869</v>
      </c>
      <c r="AT485" s="1">
        <v>19.6488166</v>
      </c>
      <c r="AU485" s="1">
        <v>0</v>
      </c>
      <c r="AV485" s="2" t="s">
        <v>69</v>
      </c>
      <c r="AW485" s="1">
        <v>433.02499999999998</v>
      </c>
      <c r="AX485" s="1">
        <f>Table1[[#This Row],[Original Commissionable GMV]]-Table1[[#This Row],[Commission ]]-Table1[[#This Row],[Commission VAT]]-Table1[[#This Row],[FreeDeliveryFund]]</f>
        <v>401.39723339999995</v>
      </c>
      <c r="AY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M485" s="2"/>
    </row>
    <row r="486" spans="12:65" x14ac:dyDescent="0.25">
      <c r="L486" s="2">
        <v>504016</v>
      </c>
      <c r="M486" s="2" t="s">
        <v>52</v>
      </c>
      <c r="N486" s="2">
        <v>505837</v>
      </c>
      <c r="O486" t="s">
        <v>53</v>
      </c>
      <c r="P486">
        <v>3404845038</v>
      </c>
      <c r="Q486" s="5">
        <v>46039.709756944445</v>
      </c>
      <c r="R486" s="2" t="s">
        <v>54</v>
      </c>
      <c r="S486" s="2" t="s">
        <v>51</v>
      </c>
      <c r="T486" s="2" t="s">
        <v>55</v>
      </c>
      <c r="U486" s="2" t="s">
        <v>59</v>
      </c>
      <c r="V486" s="2" t="s">
        <v>57</v>
      </c>
      <c r="W486" s="2" t="s">
        <v>58</v>
      </c>
      <c r="X486" s="2" t="s">
        <v>59</v>
      </c>
      <c r="Y486" s="1">
        <v>2073.5100000000002</v>
      </c>
      <c r="Z486" s="1">
        <v>2073.5100000000002</v>
      </c>
      <c r="AA486" s="1">
        <v>0</v>
      </c>
      <c r="AB486" s="1">
        <v>29.99</v>
      </c>
      <c r="AC486" s="1">
        <v>0</v>
      </c>
      <c r="AD486" s="1">
        <v>258.32456000000002</v>
      </c>
      <c r="AE486" s="1">
        <v>2103.5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36.286425000000001</v>
      </c>
      <c r="AP486" s="1">
        <v>5.0800995000000002</v>
      </c>
      <c r="AQ486" s="1">
        <v>1818.86842</v>
      </c>
      <c r="AR486" s="1">
        <v>1818.86842</v>
      </c>
      <c r="AS486" s="1">
        <v>454.71710999999999</v>
      </c>
      <c r="AT486" s="1">
        <v>63.660395399999999</v>
      </c>
      <c r="AU486" s="1">
        <v>33.99</v>
      </c>
      <c r="AV486" s="2" t="s">
        <v>60</v>
      </c>
      <c r="AW486" s="1">
        <v>1479.7760000000001</v>
      </c>
      <c r="AX486" s="1">
        <f>Table1[[#This Row],[Original Commissionable GMV]]-Table1[[#This Row],[Commission ]]-Table1[[#This Row],[Commission VAT]]-Table1[[#This Row],[FreeDeliveryFund]]</f>
        <v>1266.5009146</v>
      </c>
      <c r="AY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M486" s="2"/>
    </row>
    <row r="487" spans="12:65" x14ac:dyDescent="0.25">
      <c r="L487" s="2">
        <v>504016</v>
      </c>
      <c r="M487" s="2" t="s">
        <v>52</v>
      </c>
      <c r="N487" s="2">
        <v>505837</v>
      </c>
      <c r="O487" t="s">
        <v>63</v>
      </c>
      <c r="P487">
        <v>3404978390</v>
      </c>
      <c r="Q487" s="5">
        <v>46039.750902777778</v>
      </c>
      <c r="R487" s="2" t="s">
        <v>54</v>
      </c>
      <c r="S487" s="2" t="s">
        <v>51</v>
      </c>
      <c r="T487" s="2" t="s">
        <v>55</v>
      </c>
      <c r="U487" s="2" t="s">
        <v>56</v>
      </c>
      <c r="V487" s="2" t="s">
        <v>57</v>
      </c>
      <c r="W487" s="2" t="s">
        <v>58</v>
      </c>
      <c r="X487" s="2" t="s">
        <v>59</v>
      </c>
      <c r="Y487" s="1">
        <v>117.86</v>
      </c>
      <c r="Z487" s="1">
        <v>117.86</v>
      </c>
      <c r="AA487" s="1">
        <v>30.99</v>
      </c>
      <c r="AB487" s="1">
        <v>5.89</v>
      </c>
      <c r="AC487" s="1">
        <v>0</v>
      </c>
      <c r="AD487" s="1">
        <v>19.003160000000001</v>
      </c>
      <c r="AE487" s="1">
        <v>154.74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2.0625499999999999</v>
      </c>
      <c r="AP487" s="1">
        <v>0.28875699999999999</v>
      </c>
      <c r="AQ487" s="1">
        <v>103.38596</v>
      </c>
      <c r="AR487" s="1">
        <v>103.38596</v>
      </c>
      <c r="AS487" s="1">
        <v>25.846489999999999</v>
      </c>
      <c r="AT487" s="1">
        <v>3.6185086000000002</v>
      </c>
      <c r="AU487" s="1">
        <v>0</v>
      </c>
      <c r="AV487" s="2" t="s">
        <v>69</v>
      </c>
      <c r="AW487" s="1">
        <v>86.043999999999997</v>
      </c>
      <c r="AX487" s="1">
        <f>Table1[[#This Row],[Original Commissionable GMV]]-Table1[[#This Row],[Commission ]]-Table1[[#This Row],[Commission VAT]]-Table1[[#This Row],[FreeDeliveryFund]]</f>
        <v>73.920961399999996</v>
      </c>
      <c r="AY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M487" s="2"/>
    </row>
    <row r="488" spans="12:65" x14ac:dyDescent="0.25">
      <c r="L488" s="2">
        <v>504016</v>
      </c>
      <c r="M488" s="2" t="s">
        <v>52</v>
      </c>
      <c r="N488" s="2">
        <v>505837</v>
      </c>
      <c r="O488" t="s">
        <v>63</v>
      </c>
      <c r="P488">
        <v>3405002627</v>
      </c>
      <c r="Q488" s="5">
        <v>46039.757870370369</v>
      </c>
      <c r="R488" s="2" t="s">
        <v>62</v>
      </c>
      <c r="S488" s="2" t="s">
        <v>51</v>
      </c>
      <c r="T488" s="2" t="s">
        <v>55</v>
      </c>
      <c r="U488" s="2" t="s">
        <v>59</v>
      </c>
      <c r="V488" s="2" t="s">
        <v>57</v>
      </c>
      <c r="W488" s="2" t="s">
        <v>58</v>
      </c>
      <c r="X488" s="2" t="s">
        <v>59</v>
      </c>
      <c r="Y488" s="1">
        <v>1010</v>
      </c>
      <c r="Z488" s="1">
        <v>1010</v>
      </c>
      <c r="AA488" s="1">
        <v>28.99</v>
      </c>
      <c r="AB488" s="1">
        <v>29.99</v>
      </c>
      <c r="AC488" s="1">
        <v>0</v>
      </c>
      <c r="AD488" s="1">
        <v>131.27825000000001</v>
      </c>
      <c r="AE488" s="1">
        <v>1068.98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885.96491000000003</v>
      </c>
      <c r="AR488" s="1">
        <v>885.96491000000003</v>
      </c>
      <c r="AS488" s="1">
        <v>221.49123</v>
      </c>
      <c r="AT488" s="1">
        <v>31.008772199999999</v>
      </c>
      <c r="AU488" s="1">
        <v>0</v>
      </c>
      <c r="AV488" s="2" t="s">
        <v>69</v>
      </c>
      <c r="AW488" s="1">
        <v>757.5</v>
      </c>
      <c r="AX488" s="1">
        <f>Table1[[#This Row],[Original Commissionable GMV]]-Table1[[#This Row],[Commission ]]-Table1[[#This Row],[Commission VAT]]-Table1[[#This Row],[FreeDeliveryFund]]</f>
        <v>633.46490780000011</v>
      </c>
      <c r="AY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M488" s="2"/>
    </row>
    <row r="489" spans="12:65" x14ac:dyDescent="0.25">
      <c r="L489" s="2">
        <v>504016</v>
      </c>
      <c r="M489" s="2" t="s">
        <v>52</v>
      </c>
      <c r="N489" s="2">
        <v>505837</v>
      </c>
      <c r="O489" t="s">
        <v>53</v>
      </c>
      <c r="P489">
        <v>3405003145</v>
      </c>
      <c r="Q489" s="5">
        <v>46039.758032407408</v>
      </c>
      <c r="R489" s="2" t="s">
        <v>54</v>
      </c>
      <c r="S489" s="2" t="s">
        <v>51</v>
      </c>
      <c r="T489" s="2" t="s">
        <v>55</v>
      </c>
      <c r="U489" s="2" t="s">
        <v>56</v>
      </c>
      <c r="V489" s="2" t="s">
        <v>57</v>
      </c>
      <c r="W489" s="2" t="s">
        <v>58</v>
      </c>
      <c r="X489" s="2" t="s">
        <v>59</v>
      </c>
      <c r="Y489" s="1">
        <v>353.99</v>
      </c>
      <c r="Z489" s="1">
        <v>353.99</v>
      </c>
      <c r="AA489" s="1">
        <v>0</v>
      </c>
      <c r="AB489" s="1">
        <v>17.7</v>
      </c>
      <c r="AC489" s="1">
        <v>0</v>
      </c>
      <c r="AD489" s="1">
        <v>45.646140000000003</v>
      </c>
      <c r="AE489" s="1">
        <v>371.69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6.1948249999999998</v>
      </c>
      <c r="AP489" s="1">
        <v>0.86727549999999998</v>
      </c>
      <c r="AQ489" s="1">
        <v>310.51754</v>
      </c>
      <c r="AR489" s="1">
        <v>310.51754</v>
      </c>
      <c r="AS489" s="1">
        <v>77.629390000000001</v>
      </c>
      <c r="AT489" s="1">
        <v>10.8681146</v>
      </c>
      <c r="AU489" s="1">
        <v>31.99</v>
      </c>
      <c r="AV489" s="2" t="s">
        <v>60</v>
      </c>
      <c r="AW489" s="1">
        <v>226.44</v>
      </c>
      <c r="AX489" s="1">
        <f>Table1[[#This Row],[Original Commissionable GMV]]-Table1[[#This Row],[Commission ]]-Table1[[#This Row],[Commission VAT]]-Table1[[#This Row],[FreeDeliveryFund]]</f>
        <v>190.03003539999997</v>
      </c>
      <c r="AY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M489" s="2"/>
    </row>
    <row r="490" spans="12:65" x14ac:dyDescent="0.25">
      <c r="L490" s="2">
        <v>504016</v>
      </c>
      <c r="M490" s="2" t="s">
        <v>52</v>
      </c>
      <c r="N490" s="2">
        <v>505839</v>
      </c>
      <c r="O490" t="s">
        <v>63</v>
      </c>
      <c r="P490">
        <v>3405008976</v>
      </c>
      <c r="Q490" s="5">
        <v>46039.759791666664</v>
      </c>
      <c r="R490" s="2" t="s">
        <v>54</v>
      </c>
      <c r="S490" s="2" t="s">
        <v>51</v>
      </c>
      <c r="T490" s="2" t="s">
        <v>55</v>
      </c>
      <c r="U490" s="2" t="s">
        <v>59</v>
      </c>
      <c r="V490" s="2" t="s">
        <v>57</v>
      </c>
      <c r="W490" s="2" t="s">
        <v>58</v>
      </c>
      <c r="X490" s="2" t="s">
        <v>59</v>
      </c>
      <c r="Y490" s="1">
        <v>551.98</v>
      </c>
      <c r="Z490" s="1">
        <v>551.98</v>
      </c>
      <c r="AA490" s="1">
        <v>0</v>
      </c>
      <c r="AB490" s="1">
        <v>27.6</v>
      </c>
      <c r="AC490" s="1">
        <v>0</v>
      </c>
      <c r="AD490" s="1">
        <v>71.176490000000001</v>
      </c>
      <c r="AE490" s="1">
        <v>579.58000000000004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9.6596499999999992</v>
      </c>
      <c r="AP490" s="1">
        <v>1.3523510000000001</v>
      </c>
      <c r="AQ490" s="1">
        <v>484.19297999999998</v>
      </c>
      <c r="AR490" s="1">
        <v>484.19297999999998</v>
      </c>
      <c r="AS490" s="1">
        <v>121.04825</v>
      </c>
      <c r="AT490" s="1">
        <v>16.946755</v>
      </c>
      <c r="AU490" s="1">
        <v>26.99</v>
      </c>
      <c r="AV490" s="2" t="s">
        <v>60</v>
      </c>
      <c r="AW490" s="1">
        <v>375.983</v>
      </c>
      <c r="AX490" s="1">
        <f>Table1[[#This Row],[Original Commissionable GMV]]-Table1[[#This Row],[Commission ]]-Table1[[#This Row],[Commission VAT]]-Table1[[#This Row],[FreeDeliveryFund]]</f>
        <v>319.20797499999998</v>
      </c>
      <c r="AY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M490" s="2"/>
    </row>
    <row r="491" spans="12:65" x14ac:dyDescent="0.25">
      <c r="L491" s="2">
        <v>504016</v>
      </c>
      <c r="M491" s="2" t="s">
        <v>52</v>
      </c>
      <c r="N491" s="2">
        <v>505837</v>
      </c>
      <c r="O491" t="s">
        <v>63</v>
      </c>
      <c r="P491">
        <v>3405011996</v>
      </c>
      <c r="Q491" s="5">
        <v>46039.760706018518</v>
      </c>
      <c r="R491" s="2" t="s">
        <v>54</v>
      </c>
      <c r="S491" s="2" t="s">
        <v>51</v>
      </c>
      <c r="T491" s="2" t="s">
        <v>55</v>
      </c>
      <c r="U491" s="2" t="s">
        <v>56</v>
      </c>
      <c r="V491" s="2" t="s">
        <v>57</v>
      </c>
      <c r="W491" s="2" t="s">
        <v>58</v>
      </c>
      <c r="X491" s="2" t="s">
        <v>59</v>
      </c>
      <c r="Y491" s="1">
        <v>353.99</v>
      </c>
      <c r="Z491" s="1">
        <v>353.99</v>
      </c>
      <c r="AA491" s="1">
        <v>7</v>
      </c>
      <c r="AB491" s="1">
        <v>17.7</v>
      </c>
      <c r="AC491" s="1">
        <v>0</v>
      </c>
      <c r="AD491" s="1">
        <v>46.505789999999998</v>
      </c>
      <c r="AE491" s="1">
        <v>378.69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6.1948249999999998</v>
      </c>
      <c r="AP491" s="1">
        <v>0.86727549999999998</v>
      </c>
      <c r="AQ491" s="1">
        <v>310.51754</v>
      </c>
      <c r="AR491" s="1">
        <v>310.51754</v>
      </c>
      <c r="AS491" s="1">
        <v>77.629390000000001</v>
      </c>
      <c r="AT491" s="1">
        <v>10.8681146</v>
      </c>
      <c r="AU491" s="1">
        <v>29.99</v>
      </c>
      <c r="AV491" s="2" t="s">
        <v>60</v>
      </c>
      <c r="AW491" s="1">
        <v>228.44</v>
      </c>
      <c r="AX491" s="1">
        <f>Table1[[#This Row],[Original Commissionable GMV]]-Table1[[#This Row],[Commission ]]-Table1[[#This Row],[Commission VAT]]-Table1[[#This Row],[FreeDeliveryFund]]</f>
        <v>192.03003539999997</v>
      </c>
      <c r="AY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M491" s="2"/>
    </row>
    <row r="492" spans="12:65" x14ac:dyDescent="0.25">
      <c r="L492" s="2">
        <v>504016</v>
      </c>
      <c r="M492" s="2" t="s">
        <v>52</v>
      </c>
      <c r="N492" s="2">
        <v>505837</v>
      </c>
      <c r="O492" t="s">
        <v>53</v>
      </c>
      <c r="P492">
        <v>3405055239</v>
      </c>
      <c r="Q492" s="5">
        <v>46039.773402777777</v>
      </c>
      <c r="R492" s="2" t="s">
        <v>54</v>
      </c>
      <c r="S492" s="2" t="s">
        <v>51</v>
      </c>
      <c r="T492" s="2" t="s">
        <v>55</v>
      </c>
      <c r="U492" s="2" t="s">
        <v>56</v>
      </c>
      <c r="V492" s="2" t="s">
        <v>57</v>
      </c>
      <c r="W492" s="2" t="s">
        <v>58</v>
      </c>
      <c r="X492" s="2" t="s">
        <v>59</v>
      </c>
      <c r="Y492" s="1">
        <v>453.92</v>
      </c>
      <c r="Z492" s="1">
        <v>453.92</v>
      </c>
      <c r="AA492" s="1">
        <v>0</v>
      </c>
      <c r="AB492" s="1">
        <v>22.7</v>
      </c>
      <c r="AC492" s="1">
        <v>0</v>
      </c>
      <c r="AD492" s="1">
        <v>58.53228</v>
      </c>
      <c r="AE492" s="1">
        <v>476.62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7.9436</v>
      </c>
      <c r="AP492" s="1">
        <v>1.112104</v>
      </c>
      <c r="AQ492" s="1">
        <v>398.17543999999998</v>
      </c>
      <c r="AR492" s="1">
        <v>398.17543999999998</v>
      </c>
      <c r="AS492" s="1">
        <v>99.543859999999995</v>
      </c>
      <c r="AT492" s="1">
        <v>13.936140399999999</v>
      </c>
      <c r="AU492" s="1">
        <v>31.99</v>
      </c>
      <c r="AV492" s="2" t="s">
        <v>60</v>
      </c>
      <c r="AW492" s="1">
        <v>299.39400000000001</v>
      </c>
      <c r="AX492" s="1">
        <f>Table1[[#This Row],[Original Commissionable GMV]]-Table1[[#This Row],[Commission ]]-Table1[[#This Row],[Commission VAT]]-Table1[[#This Row],[FreeDeliveryFund]]</f>
        <v>252.70543959999998</v>
      </c>
      <c r="AY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M492" s="2"/>
    </row>
    <row r="493" spans="12:65" x14ac:dyDescent="0.25">
      <c r="L493" s="2">
        <v>504016</v>
      </c>
      <c r="M493" s="2" t="s">
        <v>52</v>
      </c>
      <c r="N493" s="2">
        <v>505839</v>
      </c>
      <c r="O493" t="s">
        <v>53</v>
      </c>
      <c r="P493">
        <v>3405085859</v>
      </c>
      <c r="Q493" s="5">
        <v>46039.782569444447</v>
      </c>
      <c r="R493" s="2" t="s">
        <v>54</v>
      </c>
      <c r="S493" s="2" t="s">
        <v>51</v>
      </c>
      <c r="T493" s="2" t="s">
        <v>55</v>
      </c>
      <c r="U493" s="2" t="s">
        <v>56</v>
      </c>
      <c r="V493" s="2" t="s">
        <v>57</v>
      </c>
      <c r="W493" s="2" t="s">
        <v>58</v>
      </c>
      <c r="X493" s="2" t="s">
        <v>59</v>
      </c>
      <c r="Y493" s="1">
        <v>363.99</v>
      </c>
      <c r="Z493" s="1">
        <v>363.99</v>
      </c>
      <c r="AA493" s="1">
        <v>9</v>
      </c>
      <c r="AB493" s="1">
        <v>18.2</v>
      </c>
      <c r="AC493" s="1">
        <v>0</v>
      </c>
      <c r="AD493" s="1">
        <v>48.040880000000001</v>
      </c>
      <c r="AE493" s="1">
        <v>391.19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6.3698249999999996</v>
      </c>
      <c r="AP493" s="1">
        <v>0.89177550000000005</v>
      </c>
      <c r="AQ493" s="1">
        <v>319.28946999999999</v>
      </c>
      <c r="AR493" s="1">
        <v>319.28946999999999</v>
      </c>
      <c r="AS493" s="1">
        <v>79.822370000000006</v>
      </c>
      <c r="AT493" s="1">
        <v>11.175131800000001</v>
      </c>
      <c r="AU493" s="1">
        <v>31.99</v>
      </c>
      <c r="AV493" s="2" t="s">
        <v>60</v>
      </c>
      <c r="AW493" s="1">
        <v>233.74100000000001</v>
      </c>
      <c r="AX493" s="1">
        <f>Table1[[#This Row],[Original Commissionable GMV]]-Table1[[#This Row],[Commission ]]-Table1[[#This Row],[Commission VAT]]-Table1[[#This Row],[FreeDeliveryFund]]</f>
        <v>196.30196819999998</v>
      </c>
      <c r="AY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M493" s="2"/>
    </row>
    <row r="494" spans="12:65" x14ac:dyDescent="0.25">
      <c r="L494" s="2">
        <v>504016</v>
      </c>
      <c r="M494" s="2" t="s">
        <v>52</v>
      </c>
      <c r="N494" s="2">
        <v>505839</v>
      </c>
      <c r="O494" t="s">
        <v>65</v>
      </c>
      <c r="P494">
        <v>3405106663</v>
      </c>
      <c r="Q494" s="5">
        <v>46039.7887962963</v>
      </c>
      <c r="R494" s="2" t="s">
        <v>62</v>
      </c>
      <c r="S494" s="2" t="s">
        <v>51</v>
      </c>
      <c r="T494" s="2" t="s">
        <v>55</v>
      </c>
      <c r="U494" s="2" t="s">
        <v>56</v>
      </c>
      <c r="V494" s="2" t="s">
        <v>57</v>
      </c>
      <c r="W494" s="2" t="s">
        <v>58</v>
      </c>
      <c r="X494" s="2" t="s">
        <v>59</v>
      </c>
      <c r="Y494" s="1">
        <v>562.98</v>
      </c>
      <c r="Z494" s="1">
        <v>562.98</v>
      </c>
      <c r="AA494" s="1">
        <v>0</v>
      </c>
      <c r="AB494" s="1">
        <v>28.15</v>
      </c>
      <c r="AC494" s="1">
        <v>0</v>
      </c>
      <c r="AD494" s="1">
        <v>72.594909999999999</v>
      </c>
      <c r="AE494" s="1">
        <v>591.13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493.84210999999999</v>
      </c>
      <c r="AR494" s="1">
        <v>493.84210999999999</v>
      </c>
      <c r="AS494" s="1">
        <v>123.46053000000001</v>
      </c>
      <c r="AT494" s="1">
        <v>17.284474199999998</v>
      </c>
      <c r="AU494" s="1">
        <v>29.99</v>
      </c>
      <c r="AV494" s="2" t="s">
        <v>60</v>
      </c>
      <c r="AW494" s="1">
        <v>392.245</v>
      </c>
      <c r="AX494" s="1">
        <f>Table1[[#This Row],[Original Commissionable GMV]]-Table1[[#This Row],[Commission ]]-Table1[[#This Row],[Commission VAT]]-Table1[[#This Row],[FreeDeliveryFund]]</f>
        <v>323.1071058</v>
      </c>
      <c r="AY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M494" s="2"/>
    </row>
    <row r="495" spans="12:65" x14ac:dyDescent="0.25">
      <c r="L495" s="2">
        <v>504016</v>
      </c>
      <c r="M495" s="2" t="s">
        <v>52</v>
      </c>
      <c r="N495" s="2">
        <v>505835</v>
      </c>
      <c r="O495" t="s">
        <v>63</v>
      </c>
      <c r="P495">
        <v>3405132589</v>
      </c>
      <c r="Q495" s="5">
        <v>46039.796574074076</v>
      </c>
      <c r="R495" s="2" t="s">
        <v>54</v>
      </c>
      <c r="S495" s="2" t="s">
        <v>51</v>
      </c>
      <c r="T495" s="2" t="s">
        <v>55</v>
      </c>
      <c r="U495" s="2" t="s">
        <v>56</v>
      </c>
      <c r="V495" s="2" t="s">
        <v>57</v>
      </c>
      <c r="W495" s="2" t="s">
        <v>58</v>
      </c>
      <c r="X495" s="2" t="s">
        <v>59</v>
      </c>
      <c r="Y495" s="1">
        <v>259.99</v>
      </c>
      <c r="Z495" s="1">
        <v>259.99</v>
      </c>
      <c r="AA495" s="1">
        <v>7</v>
      </c>
      <c r="AB495" s="1">
        <v>13</v>
      </c>
      <c r="AC495" s="1">
        <v>0</v>
      </c>
      <c r="AD495" s="1">
        <v>34.384740000000001</v>
      </c>
      <c r="AE495" s="1">
        <v>279.99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4.5498250000000002</v>
      </c>
      <c r="AP495" s="1">
        <v>0.63697550000000003</v>
      </c>
      <c r="AQ495" s="1">
        <v>228.06139999999999</v>
      </c>
      <c r="AR495" s="1">
        <v>228.06139999999999</v>
      </c>
      <c r="AS495" s="1">
        <v>57.015349999999998</v>
      </c>
      <c r="AT495" s="1">
        <v>7.9821489999999997</v>
      </c>
      <c r="AU495" s="1">
        <v>27.99</v>
      </c>
      <c r="AV495" s="2" t="s">
        <v>60</v>
      </c>
      <c r="AW495" s="1">
        <v>161.816</v>
      </c>
      <c r="AX495" s="1">
        <f>Table1[[#This Row],[Original Commissionable GMV]]-Table1[[#This Row],[Commission ]]-Table1[[#This Row],[Commission VAT]]-Table1[[#This Row],[FreeDeliveryFund]]</f>
        <v>135.07390099999998</v>
      </c>
      <c r="AY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M495" s="2"/>
    </row>
    <row r="496" spans="12:65" x14ac:dyDescent="0.25">
      <c r="L496" s="2">
        <v>504016</v>
      </c>
      <c r="M496" s="2" t="s">
        <v>52</v>
      </c>
      <c r="N496" s="2">
        <v>505837</v>
      </c>
      <c r="O496" t="s">
        <v>63</v>
      </c>
      <c r="P496">
        <v>3405180082</v>
      </c>
      <c r="Q496" s="5">
        <v>46039.810879629629</v>
      </c>
      <c r="R496" s="2" t="s">
        <v>54</v>
      </c>
      <c r="S496" s="2" t="s">
        <v>51</v>
      </c>
      <c r="T496" s="2" t="s">
        <v>55</v>
      </c>
      <c r="U496" s="2" t="s">
        <v>56</v>
      </c>
      <c r="V496" s="2" t="s">
        <v>57</v>
      </c>
      <c r="W496" s="2" t="s">
        <v>58</v>
      </c>
      <c r="X496" s="2" t="s">
        <v>59</v>
      </c>
      <c r="Y496" s="1">
        <v>491.99</v>
      </c>
      <c r="Z496" s="1">
        <v>491.99</v>
      </c>
      <c r="AA496" s="1">
        <v>26.99</v>
      </c>
      <c r="AB496" s="1">
        <v>24.6</v>
      </c>
      <c r="AC496" s="1">
        <v>0</v>
      </c>
      <c r="AD496" s="1">
        <v>66.755439999999993</v>
      </c>
      <c r="AE496" s="1">
        <v>543.58000000000004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8.6098250000000007</v>
      </c>
      <c r="AP496" s="1">
        <v>1.2053754999999999</v>
      </c>
      <c r="AQ496" s="1">
        <v>431.57017999999999</v>
      </c>
      <c r="AR496" s="1">
        <v>431.57017999999999</v>
      </c>
      <c r="AS496" s="1">
        <v>107.89255</v>
      </c>
      <c r="AT496" s="1">
        <v>15.104957000000001</v>
      </c>
      <c r="AU496" s="1">
        <v>0</v>
      </c>
      <c r="AV496" s="2" t="s">
        <v>69</v>
      </c>
      <c r="AW496" s="1">
        <v>359.17700000000002</v>
      </c>
      <c r="AX496" s="1">
        <f>Table1[[#This Row],[Original Commissionable GMV]]-Table1[[#This Row],[Commission ]]-Table1[[#This Row],[Commission VAT]]-Table1[[#This Row],[FreeDeliveryFund]]</f>
        <v>308.57267300000001</v>
      </c>
      <c r="AY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M496" s="2"/>
    </row>
    <row r="497" spans="12:65" x14ac:dyDescent="0.25">
      <c r="L497" s="2">
        <v>504016</v>
      </c>
      <c r="M497" s="2" t="s">
        <v>52</v>
      </c>
      <c r="N497" s="2">
        <v>505839</v>
      </c>
      <c r="O497" t="s">
        <v>65</v>
      </c>
      <c r="P497">
        <v>3405236446</v>
      </c>
      <c r="Q497" s="5">
        <v>46039.828506944446</v>
      </c>
      <c r="R497" s="2" t="s">
        <v>54</v>
      </c>
      <c r="S497" s="2" t="s">
        <v>51</v>
      </c>
      <c r="T497" s="2" t="s">
        <v>55</v>
      </c>
      <c r="U497" s="2" t="s">
        <v>59</v>
      </c>
      <c r="V497" s="2" t="s">
        <v>57</v>
      </c>
      <c r="W497" s="2" t="s">
        <v>58</v>
      </c>
      <c r="X497" s="2" t="s">
        <v>59</v>
      </c>
      <c r="Y497" s="1">
        <v>355.99</v>
      </c>
      <c r="Z497" s="1">
        <v>355.99</v>
      </c>
      <c r="AA497" s="1">
        <v>0</v>
      </c>
      <c r="AB497" s="1">
        <v>17.8</v>
      </c>
      <c r="AC497" s="1">
        <v>0</v>
      </c>
      <c r="AD497" s="1">
        <v>45.904040000000002</v>
      </c>
      <c r="AE497" s="1">
        <v>373.79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30</v>
      </c>
      <c r="AN497" s="1">
        <v>4.2</v>
      </c>
      <c r="AO497" s="1">
        <v>6.2298249999999999</v>
      </c>
      <c r="AP497" s="1">
        <v>0.87217549999999999</v>
      </c>
      <c r="AQ497" s="1">
        <v>312.27193</v>
      </c>
      <c r="AR497" s="1">
        <v>312.27193</v>
      </c>
      <c r="AS497" s="1">
        <v>78.067980000000006</v>
      </c>
      <c r="AT497" s="1">
        <v>10.929517199999999</v>
      </c>
      <c r="AU497" s="1">
        <v>28.99</v>
      </c>
      <c r="AV497" s="2" t="s">
        <v>60</v>
      </c>
      <c r="AW497" s="1">
        <v>196.70099999999999</v>
      </c>
      <c r="AX497" s="1">
        <f>Table1[[#This Row],[Original Commissionable GMV]]-Table1[[#This Row],[Commission ]]-Table1[[#This Row],[Commission VAT]]-Table1[[#This Row],[FreeDeliveryFund]]</f>
        <v>194.28443279999999</v>
      </c>
      <c r="AY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M497" s="2"/>
    </row>
    <row r="498" spans="12:65" x14ac:dyDescent="0.25">
      <c r="L498" s="2">
        <v>504016</v>
      </c>
      <c r="M498" s="2" t="s">
        <v>52</v>
      </c>
      <c r="N498" s="2">
        <v>505839</v>
      </c>
      <c r="O498" t="s">
        <v>53</v>
      </c>
      <c r="P498">
        <v>3405273133</v>
      </c>
      <c r="Q498" s="5">
        <v>46039.840416666666</v>
      </c>
      <c r="R498" s="2" t="s">
        <v>54</v>
      </c>
      <c r="S498" s="2" t="s">
        <v>51</v>
      </c>
      <c r="T498" s="2" t="s">
        <v>55</v>
      </c>
      <c r="U498" s="2" t="s">
        <v>56</v>
      </c>
      <c r="V498" s="2" t="s">
        <v>57</v>
      </c>
      <c r="W498" s="2" t="s">
        <v>58</v>
      </c>
      <c r="X498" s="2" t="s">
        <v>59</v>
      </c>
      <c r="Y498" s="1">
        <v>363.99</v>
      </c>
      <c r="Z498" s="1">
        <v>363.99</v>
      </c>
      <c r="AA498" s="1">
        <v>9</v>
      </c>
      <c r="AB498" s="1">
        <v>18.2</v>
      </c>
      <c r="AC498" s="1">
        <v>0</v>
      </c>
      <c r="AD498" s="1">
        <v>48.040880000000001</v>
      </c>
      <c r="AE498" s="1">
        <v>391.19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6.3698249999999996</v>
      </c>
      <c r="AP498" s="1">
        <v>0.89177550000000005</v>
      </c>
      <c r="AQ498" s="1">
        <v>319.28946999999999</v>
      </c>
      <c r="AR498" s="1">
        <v>319.28946999999999</v>
      </c>
      <c r="AS498" s="1">
        <v>79.822370000000006</v>
      </c>
      <c r="AT498" s="1">
        <v>11.175131800000001</v>
      </c>
      <c r="AU498" s="1">
        <v>31.99</v>
      </c>
      <c r="AV498" s="2" t="s">
        <v>60</v>
      </c>
      <c r="AW498" s="1">
        <v>233.74100000000001</v>
      </c>
      <c r="AX498" s="1">
        <f>Table1[[#This Row],[Original Commissionable GMV]]-Table1[[#This Row],[Commission ]]-Table1[[#This Row],[Commission VAT]]-Table1[[#This Row],[FreeDeliveryFund]]</f>
        <v>196.30196819999998</v>
      </c>
      <c r="AY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M498" s="2"/>
    </row>
    <row r="499" spans="12:65" x14ac:dyDescent="0.25">
      <c r="L499" s="2">
        <v>504016</v>
      </c>
      <c r="M499" s="2" t="s">
        <v>52</v>
      </c>
      <c r="N499" s="2">
        <v>505839</v>
      </c>
      <c r="O499" t="s">
        <v>63</v>
      </c>
      <c r="P499">
        <v>3405290463</v>
      </c>
      <c r="Q499" s="5">
        <v>46039.846307870372</v>
      </c>
      <c r="R499" s="2" t="s">
        <v>54</v>
      </c>
      <c r="S499" s="2" t="s">
        <v>51</v>
      </c>
      <c r="T499" s="2" t="s">
        <v>55</v>
      </c>
      <c r="U499" s="2" t="s">
        <v>56</v>
      </c>
      <c r="V499" s="2" t="s">
        <v>57</v>
      </c>
      <c r="W499" s="2" t="s">
        <v>58</v>
      </c>
      <c r="X499" s="2" t="s">
        <v>59</v>
      </c>
      <c r="Y499" s="1">
        <v>636.98</v>
      </c>
      <c r="Z499" s="1">
        <v>636.98</v>
      </c>
      <c r="AA499" s="1">
        <v>28.99</v>
      </c>
      <c r="AB499" s="1">
        <v>29.99</v>
      </c>
      <c r="AC499" s="1">
        <v>0</v>
      </c>
      <c r="AD499" s="1">
        <v>85.468770000000006</v>
      </c>
      <c r="AE499" s="1">
        <v>695.96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11.14715</v>
      </c>
      <c r="AP499" s="1">
        <v>1.5606009999999999</v>
      </c>
      <c r="AQ499" s="1">
        <v>558.75438999999994</v>
      </c>
      <c r="AR499" s="1">
        <v>558.75438999999994</v>
      </c>
      <c r="AS499" s="1">
        <v>139.68860000000001</v>
      </c>
      <c r="AT499" s="1">
        <v>19.556404000000001</v>
      </c>
      <c r="AU499" s="1">
        <v>0</v>
      </c>
      <c r="AV499" s="2" t="s">
        <v>69</v>
      </c>
      <c r="AW499" s="1">
        <v>465.02699999999999</v>
      </c>
      <c r="AX499" s="1">
        <f>Table1[[#This Row],[Original Commissionable GMV]]-Table1[[#This Row],[Commission ]]-Table1[[#This Row],[Commission VAT]]-Table1[[#This Row],[FreeDeliveryFund]]</f>
        <v>399.50938599999995</v>
      </c>
      <c r="AY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M499" s="2"/>
    </row>
    <row r="500" spans="12:65" x14ac:dyDescent="0.25">
      <c r="L500" s="2">
        <v>504016</v>
      </c>
      <c r="M500" s="2" t="s">
        <v>52</v>
      </c>
      <c r="N500" s="2">
        <v>505837</v>
      </c>
      <c r="O500" t="s">
        <v>63</v>
      </c>
      <c r="P500">
        <v>3405294461</v>
      </c>
      <c r="Q500" s="5">
        <v>46039.847685185188</v>
      </c>
      <c r="R500" s="2" t="s">
        <v>54</v>
      </c>
      <c r="S500" s="2" t="s">
        <v>51</v>
      </c>
      <c r="T500" s="2" t="s">
        <v>55</v>
      </c>
      <c r="U500" s="2" t="s">
        <v>56</v>
      </c>
      <c r="V500" s="2" t="s">
        <v>57</v>
      </c>
      <c r="W500" s="2" t="s">
        <v>58</v>
      </c>
      <c r="X500" s="2" t="s">
        <v>59</v>
      </c>
      <c r="Y500" s="1">
        <v>504.4</v>
      </c>
      <c r="Z500" s="1">
        <v>504.4</v>
      </c>
      <c r="AA500" s="1">
        <v>0</v>
      </c>
      <c r="AB500" s="1">
        <v>25.22</v>
      </c>
      <c r="AC500" s="1">
        <v>0</v>
      </c>
      <c r="AD500" s="1">
        <v>65.041049999999998</v>
      </c>
      <c r="AE500" s="1">
        <v>529.62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8.827</v>
      </c>
      <c r="AP500" s="1">
        <v>1.2357800000000001</v>
      </c>
      <c r="AQ500" s="1">
        <v>442.45614</v>
      </c>
      <c r="AR500" s="1">
        <v>442.45614</v>
      </c>
      <c r="AS500" s="1">
        <v>110.61404</v>
      </c>
      <c r="AT500" s="1">
        <v>15.4859656</v>
      </c>
      <c r="AU500" s="1">
        <v>29.99</v>
      </c>
      <c r="AV500" s="2" t="s">
        <v>60</v>
      </c>
      <c r="AW500" s="1">
        <v>338.24700000000001</v>
      </c>
      <c r="AX500" s="1">
        <f>Table1[[#This Row],[Original Commissionable GMV]]-Table1[[#This Row],[Commission ]]-Table1[[#This Row],[Commission VAT]]-Table1[[#This Row],[FreeDeliveryFund]]</f>
        <v>286.36613440000002</v>
      </c>
      <c r="AY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M500" s="2"/>
    </row>
    <row r="501" spans="12:65" x14ac:dyDescent="0.25">
      <c r="L501" s="2">
        <v>504016</v>
      </c>
      <c r="M501" s="2" t="s">
        <v>52</v>
      </c>
      <c r="N501" s="2">
        <v>505839</v>
      </c>
      <c r="O501" t="s">
        <v>63</v>
      </c>
      <c r="P501">
        <v>3405303829</v>
      </c>
      <c r="Q501" s="5">
        <v>46039.85083333333</v>
      </c>
      <c r="R501" s="2" t="s">
        <v>54</v>
      </c>
      <c r="S501" s="2" t="s">
        <v>51</v>
      </c>
      <c r="T501" s="2" t="s">
        <v>55</v>
      </c>
      <c r="U501" s="2" t="s">
        <v>59</v>
      </c>
      <c r="V501" s="2" t="s">
        <v>57</v>
      </c>
      <c r="W501" s="2" t="s">
        <v>58</v>
      </c>
      <c r="X501" s="2" t="s">
        <v>59</v>
      </c>
      <c r="Y501" s="1">
        <v>61.33</v>
      </c>
      <c r="Z501" s="1">
        <v>61.33</v>
      </c>
      <c r="AA501" s="1">
        <v>26.99</v>
      </c>
      <c r="AB501" s="1">
        <v>3.99</v>
      </c>
      <c r="AC501" s="1">
        <v>5</v>
      </c>
      <c r="AD501" s="1">
        <v>11.95035</v>
      </c>
      <c r="AE501" s="1">
        <v>97.31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1.073275</v>
      </c>
      <c r="AP501" s="1">
        <v>0.15025849999999999</v>
      </c>
      <c r="AQ501" s="1">
        <v>53.798250000000003</v>
      </c>
      <c r="AR501" s="1">
        <v>53.798250000000003</v>
      </c>
      <c r="AS501" s="1">
        <v>13.44956</v>
      </c>
      <c r="AT501" s="1">
        <v>1.8829384</v>
      </c>
      <c r="AU501" s="1">
        <v>0</v>
      </c>
      <c r="AV501" s="2" t="s">
        <v>69</v>
      </c>
      <c r="AW501" s="1">
        <v>44.774000000000001</v>
      </c>
      <c r="AX501" s="1">
        <f>Table1[[#This Row],[Original Commissionable GMV]]-Table1[[#This Row],[Commission ]]-Table1[[#This Row],[Commission VAT]]-Table1[[#This Row],[FreeDeliveryFund]]</f>
        <v>38.465751600000004</v>
      </c>
      <c r="AY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M501" s="2"/>
    </row>
    <row r="502" spans="12:65" x14ac:dyDescent="0.25">
      <c r="L502" s="2">
        <v>504016</v>
      </c>
      <c r="M502" s="2" t="s">
        <v>52</v>
      </c>
      <c r="N502" s="2">
        <v>505835</v>
      </c>
      <c r="O502" t="s">
        <v>53</v>
      </c>
      <c r="P502">
        <v>3405328803</v>
      </c>
      <c r="Q502" s="5">
        <v>46039.859270833331</v>
      </c>
      <c r="R502" s="2" t="s">
        <v>54</v>
      </c>
      <c r="S502" s="2" t="s">
        <v>51</v>
      </c>
      <c r="T502" s="2" t="s">
        <v>55</v>
      </c>
      <c r="U502" s="2" t="s">
        <v>56</v>
      </c>
      <c r="V502" s="2" t="s">
        <v>57</v>
      </c>
      <c r="W502" s="2" t="s">
        <v>58</v>
      </c>
      <c r="X502" s="2" t="s">
        <v>59</v>
      </c>
      <c r="Y502" s="1">
        <v>638</v>
      </c>
      <c r="Z502" s="1">
        <v>638</v>
      </c>
      <c r="AA502" s="1">
        <v>34.99</v>
      </c>
      <c r="AB502" s="1">
        <v>29.99</v>
      </c>
      <c r="AC502" s="1">
        <v>0</v>
      </c>
      <c r="AD502" s="1">
        <v>86.330879999999993</v>
      </c>
      <c r="AE502" s="1">
        <v>702.98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11.164999999999999</v>
      </c>
      <c r="AP502" s="1">
        <v>1.5630999999999999</v>
      </c>
      <c r="AQ502" s="1">
        <v>559.64912000000004</v>
      </c>
      <c r="AR502" s="1">
        <v>559.64912000000004</v>
      </c>
      <c r="AS502" s="1">
        <v>139.91228000000001</v>
      </c>
      <c r="AT502" s="1">
        <v>19.587719199999999</v>
      </c>
      <c r="AU502" s="1">
        <v>0</v>
      </c>
      <c r="AV502" s="2" t="s">
        <v>69</v>
      </c>
      <c r="AW502" s="1">
        <v>465.77199999999999</v>
      </c>
      <c r="AX502" s="1">
        <f>Table1[[#This Row],[Original Commissionable GMV]]-Table1[[#This Row],[Commission ]]-Table1[[#This Row],[Commission VAT]]-Table1[[#This Row],[FreeDeliveryFund]]</f>
        <v>400.14912080000005</v>
      </c>
      <c r="AY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M502" s="2"/>
    </row>
    <row r="503" spans="12:65" x14ac:dyDescent="0.25">
      <c r="L503" s="2">
        <v>504016</v>
      </c>
      <c r="M503" s="2" t="s">
        <v>52</v>
      </c>
      <c r="N503" s="2">
        <v>505837</v>
      </c>
      <c r="O503" t="s">
        <v>53</v>
      </c>
      <c r="P503">
        <v>3405350786</v>
      </c>
      <c r="Q503" s="5">
        <v>46039.866967592592</v>
      </c>
      <c r="R503" s="2" t="s">
        <v>54</v>
      </c>
      <c r="S503" s="2" t="s">
        <v>51</v>
      </c>
      <c r="T503" s="2" t="s">
        <v>55</v>
      </c>
      <c r="U503" s="2" t="s">
        <v>56</v>
      </c>
      <c r="V503" s="2" t="s">
        <v>57</v>
      </c>
      <c r="W503" s="2" t="s">
        <v>58</v>
      </c>
      <c r="X503" s="2" t="s">
        <v>59</v>
      </c>
      <c r="Y503" s="1">
        <v>275.99</v>
      </c>
      <c r="Z503" s="1">
        <v>275.99</v>
      </c>
      <c r="AA503" s="1">
        <v>33.99</v>
      </c>
      <c r="AB503" s="1">
        <v>13.8</v>
      </c>
      <c r="AC503" s="1">
        <v>0</v>
      </c>
      <c r="AD503" s="1">
        <v>39.762459999999997</v>
      </c>
      <c r="AE503" s="1">
        <v>323.77999999999997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4.8298249999999996</v>
      </c>
      <c r="AP503" s="1">
        <v>0.67617550000000004</v>
      </c>
      <c r="AQ503" s="1">
        <v>242.09648999999999</v>
      </c>
      <c r="AR503" s="1">
        <v>242.09648999999999</v>
      </c>
      <c r="AS503" s="1">
        <v>60.524120000000003</v>
      </c>
      <c r="AT503" s="1">
        <v>8.4733768000000005</v>
      </c>
      <c r="AU503" s="1">
        <v>0</v>
      </c>
      <c r="AV503" s="2" t="s">
        <v>69</v>
      </c>
      <c r="AW503" s="1">
        <v>201.48699999999999</v>
      </c>
      <c r="AX503" s="1">
        <f>Table1[[#This Row],[Original Commissionable GMV]]-Table1[[#This Row],[Commission ]]-Table1[[#This Row],[Commission VAT]]-Table1[[#This Row],[FreeDeliveryFund]]</f>
        <v>173.09899319999997</v>
      </c>
      <c r="AY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M503" s="2"/>
    </row>
    <row r="504" spans="12:65" x14ac:dyDescent="0.25">
      <c r="L504" s="2">
        <v>504016</v>
      </c>
      <c r="M504" s="2" t="s">
        <v>52</v>
      </c>
      <c r="N504" s="2">
        <v>505839</v>
      </c>
      <c r="O504" t="s">
        <v>63</v>
      </c>
      <c r="P504">
        <v>3405365265</v>
      </c>
      <c r="Q504" s="5">
        <v>46039.872164351851</v>
      </c>
      <c r="R504" s="2" t="s">
        <v>62</v>
      </c>
      <c r="S504" s="2" t="s">
        <v>51</v>
      </c>
      <c r="T504" s="2" t="s">
        <v>55</v>
      </c>
      <c r="U504" s="2" t="s">
        <v>59</v>
      </c>
      <c r="V504" s="2" t="s">
        <v>57</v>
      </c>
      <c r="W504" s="2" t="s">
        <v>58</v>
      </c>
      <c r="X504" s="2" t="s">
        <v>59</v>
      </c>
      <c r="Y504" s="1">
        <v>1264.96</v>
      </c>
      <c r="Z504" s="1">
        <v>1264.96</v>
      </c>
      <c r="AA504" s="1">
        <v>33.99</v>
      </c>
      <c r="AB504" s="1">
        <v>29.99</v>
      </c>
      <c r="AC504" s="1">
        <v>0</v>
      </c>
      <c r="AD504" s="1">
        <v>163.20316</v>
      </c>
      <c r="AE504" s="1">
        <v>1328.94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1109.6140399999999</v>
      </c>
      <c r="AR504" s="1">
        <v>1109.6140399999999</v>
      </c>
      <c r="AS504" s="1">
        <v>277.40350999999998</v>
      </c>
      <c r="AT504" s="1">
        <v>38.8364914</v>
      </c>
      <c r="AU504" s="1">
        <v>0</v>
      </c>
      <c r="AV504" s="2" t="s">
        <v>69</v>
      </c>
      <c r="AW504" s="1">
        <v>948.72</v>
      </c>
      <c r="AX504" s="1">
        <f>Table1[[#This Row],[Original Commissionable GMV]]-Table1[[#This Row],[Commission ]]-Table1[[#This Row],[Commission VAT]]-Table1[[#This Row],[FreeDeliveryFund]]</f>
        <v>793.37403859999995</v>
      </c>
      <c r="AY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M504" s="2"/>
    </row>
    <row r="505" spans="12:65" x14ac:dyDescent="0.25">
      <c r="L505" s="2">
        <v>504016</v>
      </c>
      <c r="M505" s="2" t="s">
        <v>52</v>
      </c>
      <c r="N505" s="2">
        <v>505837</v>
      </c>
      <c r="O505" t="s">
        <v>65</v>
      </c>
      <c r="P505">
        <v>3405434172</v>
      </c>
      <c r="Q505" s="5">
        <v>46039.898125</v>
      </c>
      <c r="R505" s="2" t="s">
        <v>66</v>
      </c>
      <c r="S505" s="2" t="s">
        <v>51</v>
      </c>
      <c r="T505" s="2" t="s">
        <v>55</v>
      </c>
      <c r="U505" s="2" t="s">
        <v>59</v>
      </c>
      <c r="V505" s="2" t="s">
        <v>57</v>
      </c>
      <c r="W505" s="2" t="s">
        <v>58</v>
      </c>
      <c r="X505" s="2" t="s">
        <v>59</v>
      </c>
      <c r="Y505" s="1">
        <v>901.98</v>
      </c>
      <c r="Z505" s="1">
        <v>901.98</v>
      </c>
      <c r="AA505" s="1">
        <v>29.99</v>
      </c>
      <c r="AB505" s="1">
        <v>29.99</v>
      </c>
      <c r="AC505" s="1">
        <v>0</v>
      </c>
      <c r="AD505" s="1">
        <v>118.13544</v>
      </c>
      <c r="AE505" s="1">
        <v>961.96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30</v>
      </c>
      <c r="AN505" s="1">
        <v>4.2</v>
      </c>
      <c r="AO505" s="1">
        <v>15.784649999999999</v>
      </c>
      <c r="AP505" s="1">
        <v>2.209851</v>
      </c>
      <c r="AQ505" s="1">
        <v>791.21052999999995</v>
      </c>
      <c r="AR505" s="1">
        <v>791.21052999999995</v>
      </c>
      <c r="AS505" s="1">
        <v>197.80262999999999</v>
      </c>
      <c r="AT505" s="1">
        <v>27.692368200000001</v>
      </c>
      <c r="AU505" s="1">
        <v>0</v>
      </c>
      <c r="AV505" s="2" t="s">
        <v>69</v>
      </c>
      <c r="AW505" s="1">
        <v>624.29100000000005</v>
      </c>
      <c r="AX505" s="1">
        <f>Table1[[#This Row],[Original Commissionable GMV]]-Table1[[#This Row],[Commission ]]-Table1[[#This Row],[Commission VAT]]-Table1[[#This Row],[FreeDeliveryFund]]</f>
        <v>565.71553179999989</v>
      </c>
      <c r="AY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M505" s="2"/>
    </row>
    <row r="506" spans="12:65" x14ac:dyDescent="0.25">
      <c r="L506" s="2">
        <v>504016</v>
      </c>
      <c r="M506" s="2" t="s">
        <v>52</v>
      </c>
      <c r="N506" s="2">
        <v>505839</v>
      </c>
      <c r="O506" t="s">
        <v>53</v>
      </c>
      <c r="P506">
        <v>3405437031</v>
      </c>
      <c r="Q506" s="5">
        <v>46039.899259259262</v>
      </c>
      <c r="R506" s="2" t="s">
        <v>54</v>
      </c>
      <c r="S506" s="2" t="s">
        <v>51</v>
      </c>
      <c r="T506" s="2" t="s">
        <v>55</v>
      </c>
      <c r="U506" s="2" t="s">
        <v>56</v>
      </c>
      <c r="V506" s="2" t="s">
        <v>57</v>
      </c>
      <c r="W506" s="2" t="s">
        <v>58</v>
      </c>
      <c r="X506" s="2" t="s">
        <v>59</v>
      </c>
      <c r="Y506" s="1">
        <v>353.99</v>
      </c>
      <c r="Z506" s="1">
        <v>353.99</v>
      </c>
      <c r="AA506" s="1">
        <v>0</v>
      </c>
      <c r="AB506" s="1">
        <v>17.7</v>
      </c>
      <c r="AC506" s="1">
        <v>0</v>
      </c>
      <c r="AD506" s="1">
        <v>45.646140000000003</v>
      </c>
      <c r="AE506" s="1">
        <v>371.69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60</v>
      </c>
      <c r="AM506" s="1">
        <v>0</v>
      </c>
      <c r="AN506" s="1">
        <v>0</v>
      </c>
      <c r="AO506" s="1">
        <v>6.1948249999999998</v>
      </c>
      <c r="AP506" s="1">
        <v>0.86727549999999998</v>
      </c>
      <c r="AQ506" s="1">
        <v>310.51754</v>
      </c>
      <c r="AR506" s="1">
        <v>310.51754</v>
      </c>
      <c r="AS506" s="1">
        <v>77.629390000000001</v>
      </c>
      <c r="AT506" s="1">
        <v>10.8681146</v>
      </c>
      <c r="AU506" s="1">
        <v>30.99</v>
      </c>
      <c r="AV506" s="2" t="s">
        <v>60</v>
      </c>
      <c r="AW506" s="1">
        <v>227.44</v>
      </c>
      <c r="AX506" s="1">
        <f>Table1[[#This Row],[Original Commissionable GMV]]-Table1[[#This Row],[Commission ]]-Table1[[#This Row],[Commission VAT]]-Table1[[#This Row],[FreeDeliveryFund]]</f>
        <v>191.03003539999997</v>
      </c>
      <c r="AY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M506" s="2"/>
    </row>
    <row r="507" spans="12:65" x14ac:dyDescent="0.25">
      <c r="L507" s="2">
        <v>504016</v>
      </c>
      <c r="M507" s="2" t="s">
        <v>52</v>
      </c>
      <c r="N507" s="2">
        <v>505839</v>
      </c>
      <c r="O507" t="s">
        <v>63</v>
      </c>
      <c r="P507">
        <v>3405493862</v>
      </c>
      <c r="Q507" s="5">
        <v>46039.92328703704</v>
      </c>
      <c r="R507" s="2" t="s">
        <v>54</v>
      </c>
      <c r="S507" s="2" t="s">
        <v>51</v>
      </c>
      <c r="T507" s="2" t="s">
        <v>55</v>
      </c>
      <c r="U507" s="2" t="s">
        <v>59</v>
      </c>
      <c r="V507" s="2" t="s">
        <v>57</v>
      </c>
      <c r="W507" s="2" t="s">
        <v>58</v>
      </c>
      <c r="X507" s="2" t="s">
        <v>59</v>
      </c>
      <c r="Y507" s="1">
        <v>582.58000000000004</v>
      </c>
      <c r="Z507" s="1">
        <v>582.58000000000004</v>
      </c>
      <c r="AA507" s="1">
        <v>28.99</v>
      </c>
      <c r="AB507" s="1">
        <v>29.13</v>
      </c>
      <c r="AC507" s="1">
        <v>0</v>
      </c>
      <c r="AD507" s="1">
        <v>78.682460000000006</v>
      </c>
      <c r="AE507" s="1">
        <v>640.70000000000005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10.19515</v>
      </c>
      <c r="AP507" s="1">
        <v>1.4273210000000001</v>
      </c>
      <c r="AQ507" s="1">
        <v>511.03509000000003</v>
      </c>
      <c r="AR507" s="1">
        <v>511.03509000000003</v>
      </c>
      <c r="AS507" s="1">
        <v>127.75877</v>
      </c>
      <c r="AT507" s="1">
        <v>17.8862278</v>
      </c>
      <c r="AU507" s="1">
        <v>0</v>
      </c>
      <c r="AV507" s="2" t="s">
        <v>69</v>
      </c>
      <c r="AW507" s="1">
        <v>425.31299999999999</v>
      </c>
      <c r="AX507" s="1">
        <f>Table1[[#This Row],[Original Commissionable GMV]]-Table1[[#This Row],[Commission ]]-Table1[[#This Row],[Commission VAT]]-Table1[[#This Row],[FreeDeliveryFund]]</f>
        <v>365.39009220000003</v>
      </c>
      <c r="AY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M507" s="2"/>
    </row>
    <row r="508" spans="12:65" x14ac:dyDescent="0.25">
      <c r="L508" s="2">
        <v>504016</v>
      </c>
      <c r="M508" s="2" t="s">
        <v>52</v>
      </c>
      <c r="N508" s="2">
        <v>505835</v>
      </c>
      <c r="O508" t="s">
        <v>63</v>
      </c>
      <c r="P508">
        <v>3405509723</v>
      </c>
      <c r="Q508" s="5">
        <v>46039.930590277778</v>
      </c>
      <c r="R508" s="2" t="s">
        <v>54</v>
      </c>
      <c r="S508" s="2" t="s">
        <v>51</v>
      </c>
      <c r="T508" s="2" t="s">
        <v>55</v>
      </c>
      <c r="U508" s="2" t="s">
        <v>56</v>
      </c>
      <c r="V508" s="2" t="s">
        <v>57</v>
      </c>
      <c r="W508" s="2" t="s">
        <v>58</v>
      </c>
      <c r="X508" s="2" t="s">
        <v>59</v>
      </c>
      <c r="Y508" s="1">
        <v>266.99</v>
      </c>
      <c r="Z508" s="1">
        <v>266.99</v>
      </c>
      <c r="AA508" s="1">
        <v>27.99</v>
      </c>
      <c r="AB508" s="1">
        <v>13.35</v>
      </c>
      <c r="AC508" s="1">
        <v>0</v>
      </c>
      <c r="AD508" s="1">
        <v>37.865090000000002</v>
      </c>
      <c r="AE508" s="1">
        <v>308.33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30</v>
      </c>
      <c r="AN508" s="1">
        <v>4.2</v>
      </c>
      <c r="AO508" s="1">
        <v>4.6723249999999998</v>
      </c>
      <c r="AP508" s="1">
        <v>0.65412550000000003</v>
      </c>
      <c r="AQ508" s="1">
        <v>234.20175</v>
      </c>
      <c r="AR508" s="1">
        <v>234.20175</v>
      </c>
      <c r="AS508" s="1">
        <v>58.550440000000002</v>
      </c>
      <c r="AT508" s="1">
        <v>8.1970615999999996</v>
      </c>
      <c r="AU508" s="1">
        <v>0</v>
      </c>
      <c r="AV508" s="2" t="s">
        <v>69</v>
      </c>
      <c r="AW508" s="1">
        <v>160.71600000000001</v>
      </c>
      <c r="AX508" s="1">
        <f>Table1[[#This Row],[Original Commissionable GMV]]-Table1[[#This Row],[Commission ]]-Table1[[#This Row],[Commission VAT]]-Table1[[#This Row],[FreeDeliveryFund]]</f>
        <v>167.45424839999998</v>
      </c>
      <c r="AY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M508" s="2"/>
    </row>
    <row r="509" spans="12:65" x14ac:dyDescent="0.25">
      <c r="L509" s="2">
        <v>504016</v>
      </c>
      <c r="M509" s="2" t="s">
        <v>52</v>
      </c>
      <c r="N509" s="2">
        <v>505839</v>
      </c>
      <c r="O509" t="s">
        <v>53</v>
      </c>
      <c r="P509">
        <v>3405550115</v>
      </c>
      <c r="Q509" s="5">
        <v>46039.950474537036</v>
      </c>
      <c r="R509" s="2" t="s">
        <v>54</v>
      </c>
      <c r="S509" s="2" t="s">
        <v>51</v>
      </c>
      <c r="T509" s="2" t="s">
        <v>55</v>
      </c>
      <c r="U509" s="2" t="s">
        <v>56</v>
      </c>
      <c r="V509" s="2" t="s">
        <v>57</v>
      </c>
      <c r="W509" s="2" t="s">
        <v>58</v>
      </c>
      <c r="X509" s="2" t="s">
        <v>59</v>
      </c>
      <c r="Y509" s="1">
        <v>353.99</v>
      </c>
      <c r="Z509" s="1">
        <v>353.99</v>
      </c>
      <c r="AA509" s="1">
        <v>0</v>
      </c>
      <c r="AB509" s="1">
        <v>17.7</v>
      </c>
      <c r="AC509" s="1">
        <v>0</v>
      </c>
      <c r="AD509" s="1">
        <v>45.646140000000003</v>
      </c>
      <c r="AE509" s="1">
        <v>371.69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6.1948249999999998</v>
      </c>
      <c r="AP509" s="1">
        <v>0.86727549999999998</v>
      </c>
      <c r="AQ509" s="1">
        <v>310.51754</v>
      </c>
      <c r="AR509" s="1">
        <v>310.51754</v>
      </c>
      <c r="AS509" s="1">
        <v>77.629390000000001</v>
      </c>
      <c r="AT509" s="1">
        <v>10.8681146</v>
      </c>
      <c r="AU509" s="1">
        <v>32.99</v>
      </c>
      <c r="AV509" s="2" t="s">
        <v>60</v>
      </c>
      <c r="AW509" s="1">
        <v>225.44</v>
      </c>
      <c r="AX509" s="1">
        <f>Table1[[#This Row],[Original Commissionable GMV]]-Table1[[#This Row],[Commission ]]-Table1[[#This Row],[Commission VAT]]-Table1[[#This Row],[FreeDeliveryFund]]</f>
        <v>189.03003539999997</v>
      </c>
      <c r="AY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M509" s="2"/>
    </row>
    <row r="510" spans="12:65" x14ac:dyDescent="0.25">
      <c r="L510" s="2">
        <v>504016</v>
      </c>
      <c r="M510" s="2" t="s">
        <v>52</v>
      </c>
      <c r="N510" s="2">
        <v>505837</v>
      </c>
      <c r="O510" t="s">
        <v>63</v>
      </c>
      <c r="P510">
        <v>3405562736</v>
      </c>
      <c r="Q510" s="5">
        <v>46039.95721064815</v>
      </c>
      <c r="R510" s="2" t="s">
        <v>54</v>
      </c>
      <c r="S510" s="2" t="s">
        <v>61</v>
      </c>
      <c r="T510" s="2" t="s">
        <v>55</v>
      </c>
      <c r="U510" s="2" t="s">
        <v>59</v>
      </c>
      <c r="V510" s="2" t="s">
        <v>57</v>
      </c>
      <c r="W510" s="2" t="s">
        <v>58</v>
      </c>
      <c r="X510" s="2" t="s">
        <v>59</v>
      </c>
      <c r="Y510" s="1">
        <v>341.58</v>
      </c>
      <c r="Z510" s="1">
        <v>341.58</v>
      </c>
      <c r="AA510" s="1">
        <v>0</v>
      </c>
      <c r="AB510" s="1">
        <v>17.079999999999998</v>
      </c>
      <c r="AC510" s="1">
        <v>0</v>
      </c>
      <c r="AD510" s="1">
        <v>44.045960000000001</v>
      </c>
      <c r="AE510" s="1">
        <v>358.66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299.63157999999999</v>
      </c>
      <c r="AR510" s="1">
        <v>299.63157999999999</v>
      </c>
      <c r="AS510" s="1">
        <v>74.907899999999998</v>
      </c>
      <c r="AT510" s="1">
        <v>10.487106000000001</v>
      </c>
      <c r="AU510" s="1">
        <v>0</v>
      </c>
      <c r="AV510" s="2" t="s">
        <v>69</v>
      </c>
      <c r="AW510" s="1">
        <v>-85.394999999999996</v>
      </c>
      <c r="AX510" s="1">
        <f>Table1[[#This Row],[Original Commissionable GMV]]-Table1[[#This Row],[Commission ]]-Table1[[#This Row],[Commission VAT]]-Table1[[#This Row],[FreeDeliveryFund]]</f>
        <v>214.23657399999999</v>
      </c>
      <c r="AY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M510" s="2"/>
    </row>
    <row r="511" spans="12:65" x14ac:dyDescent="0.25">
      <c r="L511" s="2">
        <v>504016</v>
      </c>
      <c r="M511" s="2" t="s">
        <v>52</v>
      </c>
      <c r="N511" s="2">
        <v>505837</v>
      </c>
      <c r="O511" t="s">
        <v>53</v>
      </c>
      <c r="P511">
        <v>3406024022</v>
      </c>
      <c r="Q511" s="5">
        <v>46040.469513888886</v>
      </c>
      <c r="R511" s="2" t="s">
        <v>54</v>
      </c>
      <c r="S511" s="2" t="s">
        <v>51</v>
      </c>
      <c r="T511" s="2" t="s">
        <v>55</v>
      </c>
      <c r="U511" s="2" t="s">
        <v>56</v>
      </c>
      <c r="V511" s="2" t="s">
        <v>57</v>
      </c>
      <c r="W511" s="2" t="s">
        <v>58</v>
      </c>
      <c r="X511" s="2" t="s">
        <v>59</v>
      </c>
      <c r="Y511" s="1">
        <v>209.99</v>
      </c>
      <c r="Z511" s="1">
        <v>209.99</v>
      </c>
      <c r="AA511" s="1">
        <v>0</v>
      </c>
      <c r="AB511" s="1">
        <v>10.5</v>
      </c>
      <c r="AC511" s="1">
        <v>0</v>
      </c>
      <c r="AD511" s="1">
        <v>27.077719999999999</v>
      </c>
      <c r="AE511" s="1">
        <v>220.49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3.6748249999999998</v>
      </c>
      <c r="AP511" s="1">
        <v>0.51447549999999997</v>
      </c>
      <c r="AQ511" s="1">
        <v>184.20175</v>
      </c>
      <c r="AR511" s="1">
        <v>184.20175</v>
      </c>
      <c r="AS511" s="1">
        <v>46.050440000000002</v>
      </c>
      <c r="AT511" s="1">
        <v>6.4470615999999996</v>
      </c>
      <c r="AU511" s="1">
        <v>33.99</v>
      </c>
      <c r="AV511" s="2" t="s">
        <v>60</v>
      </c>
      <c r="AW511" s="1">
        <v>119.313</v>
      </c>
      <c r="AX511" s="1">
        <f>Table1[[#This Row],[Original Commissionable GMV]]-Table1[[#This Row],[Commission ]]-Table1[[#This Row],[Commission VAT]]-Table1[[#This Row],[FreeDeliveryFund]]</f>
        <v>97.714248399999974</v>
      </c>
      <c r="AY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M511" s="2"/>
    </row>
    <row r="512" spans="12:65" x14ac:dyDescent="0.25">
      <c r="L512" s="2">
        <v>504016</v>
      </c>
      <c r="M512" s="2" t="s">
        <v>52</v>
      </c>
      <c r="N512" s="2">
        <v>505837</v>
      </c>
      <c r="O512" t="s">
        <v>53</v>
      </c>
      <c r="P512">
        <v>3406306822</v>
      </c>
      <c r="Q512" s="5">
        <v>46040.586759259262</v>
      </c>
      <c r="R512" s="2" t="s">
        <v>62</v>
      </c>
      <c r="S512" s="2" t="s">
        <v>51</v>
      </c>
      <c r="T512" s="2" t="s">
        <v>55</v>
      </c>
      <c r="U512" s="2" t="s">
        <v>59</v>
      </c>
      <c r="V512" s="2" t="s">
        <v>57</v>
      </c>
      <c r="W512" s="2" t="s">
        <v>58</v>
      </c>
      <c r="X512" s="2" t="s">
        <v>59</v>
      </c>
      <c r="Y512" s="1">
        <v>1033.96</v>
      </c>
      <c r="Z512" s="1">
        <v>1033.96</v>
      </c>
      <c r="AA512" s="1">
        <v>9</v>
      </c>
      <c r="AB512" s="1">
        <v>29.99</v>
      </c>
      <c r="AC512" s="1">
        <v>0</v>
      </c>
      <c r="AD512" s="1">
        <v>131.76579000000001</v>
      </c>
      <c r="AE512" s="1">
        <v>1072.95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906.98245999999995</v>
      </c>
      <c r="AR512" s="1">
        <v>906.98245999999995</v>
      </c>
      <c r="AS512" s="1">
        <v>226.74562</v>
      </c>
      <c r="AT512" s="1">
        <v>31.744386800000001</v>
      </c>
      <c r="AU512" s="1">
        <v>35.99</v>
      </c>
      <c r="AV512" s="2" t="s">
        <v>60</v>
      </c>
      <c r="AW512" s="1">
        <v>739.48</v>
      </c>
      <c r="AX512" s="1">
        <f>Table1[[#This Row],[Original Commissionable GMV]]-Table1[[#This Row],[Commission ]]-Table1[[#This Row],[Commission VAT]]-Table1[[#This Row],[FreeDeliveryFund]]</f>
        <v>612.50245319999988</v>
      </c>
      <c r="AY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M512" s="2"/>
    </row>
    <row r="513" spans="12:65" x14ac:dyDescent="0.25">
      <c r="L513" s="2">
        <v>504016</v>
      </c>
      <c r="M513" s="2" t="s">
        <v>52</v>
      </c>
      <c r="N513" s="2">
        <v>505835</v>
      </c>
      <c r="O513" t="s">
        <v>63</v>
      </c>
      <c r="P513">
        <v>3406377341</v>
      </c>
      <c r="Q513" s="5">
        <v>46040.61482638889</v>
      </c>
      <c r="R513" s="2" t="s">
        <v>62</v>
      </c>
      <c r="S513" s="2" t="s">
        <v>51</v>
      </c>
      <c r="T513" s="2" t="s">
        <v>55</v>
      </c>
      <c r="U513" s="2" t="s">
        <v>56</v>
      </c>
      <c r="V513" s="2" t="s">
        <v>57</v>
      </c>
      <c r="W513" s="2" t="s">
        <v>58</v>
      </c>
      <c r="X513" s="2" t="s">
        <v>59</v>
      </c>
      <c r="Y513" s="1">
        <v>499.98</v>
      </c>
      <c r="Z513" s="1">
        <v>499.98</v>
      </c>
      <c r="AA513" s="1">
        <v>29.99</v>
      </c>
      <c r="AB513" s="1">
        <v>25</v>
      </c>
      <c r="AC513" s="1">
        <v>0</v>
      </c>
      <c r="AD513" s="1">
        <v>68.154210000000006</v>
      </c>
      <c r="AE513" s="1">
        <v>554.97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438.57895000000002</v>
      </c>
      <c r="AR513" s="1">
        <v>438.57895000000002</v>
      </c>
      <c r="AS513" s="1">
        <v>109.64474</v>
      </c>
      <c r="AT513" s="1">
        <v>15.3502636</v>
      </c>
      <c r="AU513" s="1">
        <v>0</v>
      </c>
      <c r="AV513" s="2" t="s">
        <v>69</v>
      </c>
      <c r="AW513" s="1">
        <v>374.98500000000001</v>
      </c>
      <c r="AX513" s="1">
        <f>Table1[[#This Row],[Original Commissionable GMV]]-Table1[[#This Row],[Commission ]]-Table1[[#This Row],[Commission VAT]]-Table1[[#This Row],[FreeDeliveryFund]]</f>
        <v>313.5839464</v>
      </c>
      <c r="AY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M513" s="2"/>
    </row>
    <row r="514" spans="12:65" x14ac:dyDescent="0.25">
      <c r="L514" s="2">
        <v>504016</v>
      </c>
      <c r="M514" s="2" t="s">
        <v>52</v>
      </c>
      <c r="N514" s="2">
        <v>505837</v>
      </c>
      <c r="O514" t="s">
        <v>65</v>
      </c>
      <c r="P514">
        <v>3406380721</v>
      </c>
      <c r="Q514" s="5">
        <v>46040.616180555553</v>
      </c>
      <c r="R514" s="2" t="s">
        <v>62</v>
      </c>
      <c r="S514" s="2" t="s">
        <v>51</v>
      </c>
      <c r="T514" s="2" t="s">
        <v>55</v>
      </c>
      <c r="U514" s="2" t="s">
        <v>56</v>
      </c>
      <c r="V514" s="2" t="s">
        <v>57</v>
      </c>
      <c r="W514" s="2" t="s">
        <v>58</v>
      </c>
      <c r="X514" s="2" t="s">
        <v>59</v>
      </c>
      <c r="Y514" s="1">
        <v>459.99</v>
      </c>
      <c r="Z514" s="1">
        <v>459.99</v>
      </c>
      <c r="AA514" s="1">
        <v>0</v>
      </c>
      <c r="AB514" s="1">
        <v>23</v>
      </c>
      <c r="AC514" s="1">
        <v>0</v>
      </c>
      <c r="AD514" s="1">
        <v>59.31456</v>
      </c>
      <c r="AE514" s="1">
        <v>482.99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403.5</v>
      </c>
      <c r="AR514" s="1">
        <v>403.5</v>
      </c>
      <c r="AS514" s="1">
        <v>100.875</v>
      </c>
      <c r="AT514" s="1">
        <v>14.1225</v>
      </c>
      <c r="AU514" s="1">
        <v>27.99</v>
      </c>
      <c r="AV514" s="2" t="s">
        <v>60</v>
      </c>
      <c r="AW514" s="1">
        <v>317.00200000000001</v>
      </c>
      <c r="AX514" s="1">
        <f>Table1[[#This Row],[Original Commissionable GMV]]-Table1[[#This Row],[Commission ]]-Table1[[#This Row],[Commission VAT]]-Table1[[#This Row],[FreeDeliveryFund]]</f>
        <v>260.51249999999999</v>
      </c>
      <c r="AY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M514" s="2"/>
    </row>
    <row r="515" spans="12:65" x14ac:dyDescent="0.25">
      <c r="L515" s="2">
        <v>504016</v>
      </c>
      <c r="M515" s="2" t="s">
        <v>52</v>
      </c>
      <c r="N515" s="2">
        <v>505835</v>
      </c>
      <c r="O515" t="s">
        <v>53</v>
      </c>
      <c r="P515">
        <v>3406402580</v>
      </c>
      <c r="Q515" s="5">
        <v>46040.624780092592</v>
      </c>
      <c r="R515" s="2" t="s">
        <v>54</v>
      </c>
      <c r="S515" s="2" t="s">
        <v>51</v>
      </c>
      <c r="T515" s="2" t="s">
        <v>55</v>
      </c>
      <c r="U515" s="2" t="s">
        <v>59</v>
      </c>
      <c r="V515" s="2" t="s">
        <v>57</v>
      </c>
      <c r="W515" s="2" t="s">
        <v>58</v>
      </c>
      <c r="X515" s="2" t="s">
        <v>59</v>
      </c>
      <c r="Y515" s="1">
        <v>353.99</v>
      </c>
      <c r="Z515" s="1">
        <v>353.99</v>
      </c>
      <c r="AA515" s="1">
        <v>31.99</v>
      </c>
      <c r="AB515" s="1">
        <v>17.7</v>
      </c>
      <c r="AC515" s="1">
        <v>0</v>
      </c>
      <c r="AD515" s="1">
        <v>49.574739999999998</v>
      </c>
      <c r="AE515" s="1">
        <v>403.68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6.1948249999999998</v>
      </c>
      <c r="AP515" s="1">
        <v>0.86727549999999998</v>
      </c>
      <c r="AQ515" s="1">
        <v>310.51754</v>
      </c>
      <c r="AR515" s="1">
        <v>310.51754</v>
      </c>
      <c r="AS515" s="1">
        <v>77.629390000000001</v>
      </c>
      <c r="AT515" s="1">
        <v>10.8681146</v>
      </c>
      <c r="AU515" s="1">
        <v>0</v>
      </c>
      <c r="AV515" s="2" t="s">
        <v>69</v>
      </c>
      <c r="AW515" s="1">
        <v>258.43</v>
      </c>
      <c r="AX515" s="1">
        <f>Table1[[#This Row],[Original Commissionable GMV]]-Table1[[#This Row],[Commission ]]-Table1[[#This Row],[Commission VAT]]-Table1[[#This Row],[FreeDeliveryFund]]</f>
        <v>222.02003539999998</v>
      </c>
      <c r="AY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M515" s="2"/>
    </row>
    <row r="516" spans="12:65" x14ac:dyDescent="0.25">
      <c r="L516" s="2">
        <v>504016</v>
      </c>
      <c r="M516" s="2" t="s">
        <v>52</v>
      </c>
      <c r="N516" s="2">
        <v>505839</v>
      </c>
      <c r="O516" t="s">
        <v>65</v>
      </c>
      <c r="P516">
        <v>3406431751</v>
      </c>
      <c r="Q516" s="5">
        <v>46040.635995370372</v>
      </c>
      <c r="R516" s="2" t="s">
        <v>62</v>
      </c>
      <c r="S516" s="2" t="s">
        <v>51</v>
      </c>
      <c r="T516" s="2" t="s">
        <v>55</v>
      </c>
      <c r="U516" s="2" t="s">
        <v>59</v>
      </c>
      <c r="V516" s="2" t="s">
        <v>57</v>
      </c>
      <c r="W516" s="2" t="s">
        <v>58</v>
      </c>
      <c r="X516" s="2" t="s">
        <v>59</v>
      </c>
      <c r="Y516" s="1">
        <v>490.99</v>
      </c>
      <c r="Z516" s="1">
        <v>490.99</v>
      </c>
      <c r="AA516" s="1">
        <v>30.99</v>
      </c>
      <c r="AB516" s="1">
        <v>24.55</v>
      </c>
      <c r="AC516" s="1">
        <v>0</v>
      </c>
      <c r="AD516" s="1">
        <v>67.117720000000006</v>
      </c>
      <c r="AE516" s="1">
        <v>546.53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430.69297999999998</v>
      </c>
      <c r="AR516" s="1">
        <v>430.69297999999998</v>
      </c>
      <c r="AS516" s="1">
        <v>107.67325</v>
      </c>
      <c r="AT516" s="1">
        <v>15.074255000000001</v>
      </c>
      <c r="AU516" s="1">
        <v>0</v>
      </c>
      <c r="AV516" s="2" t="s">
        <v>69</v>
      </c>
      <c r="AW516" s="1">
        <v>368.24200000000002</v>
      </c>
      <c r="AX516" s="1">
        <f>Table1[[#This Row],[Original Commissionable GMV]]-Table1[[#This Row],[Commission ]]-Table1[[#This Row],[Commission VAT]]-Table1[[#This Row],[FreeDeliveryFund]]</f>
        <v>307.94547499999999</v>
      </c>
      <c r="AY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M516" s="2"/>
    </row>
    <row r="517" spans="12:65" x14ac:dyDescent="0.25">
      <c r="L517" s="2">
        <v>504016</v>
      </c>
      <c r="M517" s="2" t="s">
        <v>52</v>
      </c>
      <c r="N517" s="2">
        <v>505839</v>
      </c>
      <c r="O517" t="s">
        <v>63</v>
      </c>
      <c r="P517">
        <v>3406441871</v>
      </c>
      <c r="Q517" s="5">
        <v>46040.639768518522</v>
      </c>
      <c r="R517" s="2" t="s">
        <v>54</v>
      </c>
      <c r="S517" s="2" t="s">
        <v>51</v>
      </c>
      <c r="T517" s="2" t="s">
        <v>55</v>
      </c>
      <c r="U517" s="2" t="s">
        <v>56</v>
      </c>
      <c r="V517" s="2" t="s">
        <v>57</v>
      </c>
      <c r="W517" s="2" t="s">
        <v>58</v>
      </c>
      <c r="X517" s="2" t="s">
        <v>59</v>
      </c>
      <c r="Y517" s="1">
        <v>453.99</v>
      </c>
      <c r="Z517" s="1">
        <v>453.99</v>
      </c>
      <c r="AA517" s="1">
        <v>29.99</v>
      </c>
      <c r="AB517" s="1">
        <v>22.7</v>
      </c>
      <c r="AC517" s="1">
        <v>0</v>
      </c>
      <c r="AD517" s="1">
        <v>62.223860000000002</v>
      </c>
      <c r="AE517" s="1">
        <v>506.68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7.9448249999999998</v>
      </c>
      <c r="AP517" s="1">
        <v>1.1122755</v>
      </c>
      <c r="AQ517" s="1">
        <v>398.23683999999997</v>
      </c>
      <c r="AR517" s="1">
        <v>398.23683999999997</v>
      </c>
      <c r="AS517" s="1">
        <v>99.559209999999993</v>
      </c>
      <c r="AT517" s="1">
        <v>13.9382894</v>
      </c>
      <c r="AU517" s="1">
        <v>0</v>
      </c>
      <c r="AV517" s="2" t="s">
        <v>69</v>
      </c>
      <c r="AW517" s="1">
        <v>331.435</v>
      </c>
      <c r="AX517" s="1">
        <f>Table1[[#This Row],[Original Commissionable GMV]]-Table1[[#This Row],[Commission ]]-Table1[[#This Row],[Commission VAT]]-Table1[[#This Row],[FreeDeliveryFund]]</f>
        <v>284.73934059999999</v>
      </c>
      <c r="AY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M517" s="2"/>
    </row>
    <row r="518" spans="12:65" x14ac:dyDescent="0.25">
      <c r="L518" s="2">
        <v>504016</v>
      </c>
      <c r="M518" s="2" t="s">
        <v>52</v>
      </c>
      <c r="N518" s="2">
        <v>505839</v>
      </c>
      <c r="O518" t="s">
        <v>53</v>
      </c>
      <c r="P518">
        <v>3406447848</v>
      </c>
      <c r="Q518" s="5">
        <v>46040.642002314817</v>
      </c>
      <c r="R518" s="2" t="s">
        <v>54</v>
      </c>
      <c r="S518" s="2" t="s">
        <v>51</v>
      </c>
      <c r="T518" s="2" t="s">
        <v>55</v>
      </c>
      <c r="U518" s="2" t="s">
        <v>56</v>
      </c>
      <c r="V518" s="2" t="s">
        <v>57</v>
      </c>
      <c r="W518" s="2" t="s">
        <v>58</v>
      </c>
      <c r="X518" s="2" t="s">
        <v>59</v>
      </c>
      <c r="Y518" s="1">
        <v>520.66</v>
      </c>
      <c r="Z518" s="1">
        <v>520.66</v>
      </c>
      <c r="AA518" s="1">
        <v>30.99</v>
      </c>
      <c r="AB518" s="1">
        <v>26.03</v>
      </c>
      <c r="AC518" s="1">
        <v>0</v>
      </c>
      <c r="AD518" s="1">
        <v>70.943160000000006</v>
      </c>
      <c r="AE518" s="1">
        <v>577.67999999999995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9.1115499999999994</v>
      </c>
      <c r="AP518" s="1">
        <v>1.275617</v>
      </c>
      <c r="AQ518" s="1">
        <v>456.71929999999998</v>
      </c>
      <c r="AR518" s="1">
        <v>456.71929999999998</v>
      </c>
      <c r="AS518" s="1">
        <v>114.17983</v>
      </c>
      <c r="AT518" s="1">
        <v>15.9851762</v>
      </c>
      <c r="AU518" s="1">
        <v>0</v>
      </c>
      <c r="AV518" s="2" t="s">
        <v>69</v>
      </c>
      <c r="AW518" s="1">
        <v>380.108</v>
      </c>
      <c r="AX518" s="1">
        <f>Table1[[#This Row],[Original Commissionable GMV]]-Table1[[#This Row],[Commission ]]-Table1[[#This Row],[Commission VAT]]-Table1[[#This Row],[FreeDeliveryFund]]</f>
        <v>326.55429379999998</v>
      </c>
      <c r="AY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M518" s="2"/>
    </row>
    <row r="519" spans="12:65" x14ac:dyDescent="0.25">
      <c r="L519" s="2">
        <v>504016</v>
      </c>
      <c r="M519" s="2" t="s">
        <v>52</v>
      </c>
      <c r="N519" s="2">
        <v>505837</v>
      </c>
      <c r="O519" t="s">
        <v>63</v>
      </c>
      <c r="P519">
        <v>3406480656</v>
      </c>
      <c r="Q519" s="5">
        <v>46040.654189814813</v>
      </c>
      <c r="R519" s="2" t="s">
        <v>62</v>
      </c>
      <c r="S519" s="2" t="s">
        <v>51</v>
      </c>
      <c r="T519" s="2" t="s">
        <v>55</v>
      </c>
      <c r="U519" s="2" t="s">
        <v>56</v>
      </c>
      <c r="V519" s="2" t="s">
        <v>57</v>
      </c>
      <c r="W519" s="2" t="s">
        <v>58</v>
      </c>
      <c r="X519" s="2" t="s">
        <v>59</v>
      </c>
      <c r="Y519" s="1">
        <v>541.96</v>
      </c>
      <c r="Z519" s="1">
        <v>541.96</v>
      </c>
      <c r="AA519" s="1">
        <v>29.99</v>
      </c>
      <c r="AB519" s="1">
        <v>27.1</v>
      </c>
      <c r="AC519" s="1">
        <v>0</v>
      </c>
      <c r="AD519" s="1">
        <v>73.567539999999994</v>
      </c>
      <c r="AE519" s="1">
        <v>599.04999999999995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475.40350999999998</v>
      </c>
      <c r="AR519" s="1">
        <v>475.40350999999998</v>
      </c>
      <c r="AS519" s="1">
        <v>118.85088</v>
      </c>
      <c r="AT519" s="1">
        <v>16.6391232</v>
      </c>
      <c r="AU519" s="1">
        <v>0</v>
      </c>
      <c r="AV519" s="2" t="s">
        <v>69</v>
      </c>
      <c r="AW519" s="1">
        <v>406.47</v>
      </c>
      <c r="AX519" s="1">
        <f>Table1[[#This Row],[Original Commissionable GMV]]-Table1[[#This Row],[Commission ]]-Table1[[#This Row],[Commission VAT]]-Table1[[#This Row],[FreeDeliveryFund]]</f>
        <v>339.91350679999994</v>
      </c>
      <c r="AY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M519" s="2"/>
    </row>
    <row r="520" spans="12:65" x14ac:dyDescent="0.25">
      <c r="L520" s="2">
        <v>504016</v>
      </c>
      <c r="M520" s="2" t="s">
        <v>52</v>
      </c>
      <c r="N520" s="2">
        <v>505837</v>
      </c>
      <c r="O520" t="s">
        <v>53</v>
      </c>
      <c r="P520">
        <v>3406509867</v>
      </c>
      <c r="Q520" s="5">
        <v>46040.665023148147</v>
      </c>
      <c r="R520" s="2" t="s">
        <v>54</v>
      </c>
      <c r="S520" s="2" t="s">
        <v>51</v>
      </c>
      <c r="T520" s="2" t="s">
        <v>55</v>
      </c>
      <c r="U520" s="2" t="s">
        <v>56</v>
      </c>
      <c r="V520" s="2" t="s">
        <v>57</v>
      </c>
      <c r="W520" s="2" t="s">
        <v>58</v>
      </c>
      <c r="X520" s="2" t="s">
        <v>59</v>
      </c>
      <c r="Y520" s="1">
        <v>355.99</v>
      </c>
      <c r="Z520" s="1">
        <v>355.99</v>
      </c>
      <c r="AA520" s="1">
        <v>34.99</v>
      </c>
      <c r="AB520" s="1">
        <v>17.8</v>
      </c>
      <c r="AC520" s="1">
        <v>0</v>
      </c>
      <c r="AD520" s="1">
        <v>50.201050000000002</v>
      </c>
      <c r="AE520" s="1">
        <v>408.78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6.2298249999999999</v>
      </c>
      <c r="AP520" s="1">
        <v>0.87217549999999999</v>
      </c>
      <c r="AQ520" s="1">
        <v>312.27193</v>
      </c>
      <c r="AR520" s="1">
        <v>312.27193</v>
      </c>
      <c r="AS520" s="1">
        <v>78.067980000000006</v>
      </c>
      <c r="AT520" s="1">
        <v>10.929517199999999</v>
      </c>
      <c r="AU520" s="1">
        <v>0</v>
      </c>
      <c r="AV520" s="2" t="s">
        <v>69</v>
      </c>
      <c r="AW520" s="1">
        <v>259.89100000000002</v>
      </c>
      <c r="AX520" s="1">
        <f>Table1[[#This Row],[Original Commissionable GMV]]-Table1[[#This Row],[Commission ]]-Table1[[#This Row],[Commission VAT]]-Table1[[#This Row],[FreeDeliveryFund]]</f>
        <v>223.2744328</v>
      </c>
      <c r="AY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M520" s="2"/>
    </row>
    <row r="521" spans="12:65" x14ac:dyDescent="0.25">
      <c r="L521" s="2">
        <v>504016</v>
      </c>
      <c r="M521" s="2" t="s">
        <v>52</v>
      </c>
      <c r="N521" s="2">
        <v>505839</v>
      </c>
      <c r="O521" t="s">
        <v>63</v>
      </c>
      <c r="P521">
        <v>3406541803</v>
      </c>
      <c r="Q521" s="5">
        <v>46040.676574074074</v>
      </c>
      <c r="R521" s="2" t="s">
        <v>54</v>
      </c>
      <c r="S521" s="2" t="s">
        <v>51</v>
      </c>
      <c r="T521" s="2" t="s">
        <v>55</v>
      </c>
      <c r="U521" s="2" t="s">
        <v>56</v>
      </c>
      <c r="V521" s="2" t="s">
        <v>57</v>
      </c>
      <c r="W521" s="2" t="s">
        <v>58</v>
      </c>
      <c r="X521" s="2" t="s">
        <v>59</v>
      </c>
      <c r="Y521" s="1">
        <v>370.33</v>
      </c>
      <c r="Z521" s="1">
        <v>370.33</v>
      </c>
      <c r="AA521" s="1">
        <v>33.99</v>
      </c>
      <c r="AB521" s="1">
        <v>18.52</v>
      </c>
      <c r="AC521" s="1">
        <v>0</v>
      </c>
      <c r="AD521" s="1">
        <v>51.927720000000001</v>
      </c>
      <c r="AE521" s="1">
        <v>422.84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6.4807750000000004</v>
      </c>
      <c r="AP521" s="1">
        <v>0.90730849999999996</v>
      </c>
      <c r="AQ521" s="1">
        <v>324.85088000000002</v>
      </c>
      <c r="AR521" s="1">
        <v>324.85088000000002</v>
      </c>
      <c r="AS521" s="1">
        <v>81.212720000000004</v>
      </c>
      <c r="AT521" s="1">
        <v>11.369780799999999</v>
      </c>
      <c r="AU521" s="1">
        <v>0</v>
      </c>
      <c r="AV521" s="2" t="s">
        <v>69</v>
      </c>
      <c r="AW521" s="1">
        <v>270.35899999999998</v>
      </c>
      <c r="AX521" s="1">
        <f>Table1[[#This Row],[Original Commissionable GMV]]-Table1[[#This Row],[Commission ]]-Table1[[#This Row],[Commission VAT]]-Table1[[#This Row],[FreeDeliveryFund]]</f>
        <v>232.26837920000003</v>
      </c>
      <c r="AY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M521" s="2"/>
    </row>
    <row r="522" spans="12:65" x14ac:dyDescent="0.25">
      <c r="L522" s="2">
        <v>504016</v>
      </c>
      <c r="M522" s="2" t="s">
        <v>52</v>
      </c>
      <c r="N522" s="2">
        <v>505837</v>
      </c>
      <c r="O522" t="s">
        <v>65</v>
      </c>
      <c r="P522">
        <v>3406549497</v>
      </c>
      <c r="Q522" s="5">
        <v>46040.679270833331</v>
      </c>
      <c r="R522" s="2" t="s">
        <v>54</v>
      </c>
      <c r="S522" s="2" t="s">
        <v>51</v>
      </c>
      <c r="T522" s="2" t="s">
        <v>55</v>
      </c>
      <c r="U522" s="2" t="s">
        <v>59</v>
      </c>
      <c r="V522" s="2" t="s">
        <v>57</v>
      </c>
      <c r="W522" s="2" t="s">
        <v>58</v>
      </c>
      <c r="X522" s="2" t="s">
        <v>59</v>
      </c>
      <c r="Y522" s="1">
        <v>785.98</v>
      </c>
      <c r="Z522" s="1">
        <v>785.98</v>
      </c>
      <c r="AA522" s="1">
        <v>7</v>
      </c>
      <c r="AB522" s="1">
        <v>29.99</v>
      </c>
      <c r="AC522" s="1">
        <v>0</v>
      </c>
      <c r="AD522" s="1">
        <v>95.540180000000007</v>
      </c>
      <c r="AE522" s="1">
        <v>777.97</v>
      </c>
      <c r="AG522" s="1">
        <v>0</v>
      </c>
      <c r="AH522" s="1">
        <v>45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13.75465</v>
      </c>
      <c r="AP522" s="1">
        <v>1.925651</v>
      </c>
      <c r="AQ522" s="1">
        <v>689.45614</v>
      </c>
      <c r="AR522" s="1">
        <v>689.45614</v>
      </c>
      <c r="AS522" s="1">
        <v>172.36403999999999</v>
      </c>
      <c r="AT522" s="1">
        <v>24.1309656</v>
      </c>
      <c r="AU522" s="1">
        <v>28.99</v>
      </c>
      <c r="AV522" s="2" t="s">
        <v>60</v>
      </c>
      <c r="AW522" s="1">
        <v>544.81500000000005</v>
      </c>
      <c r="AX522" s="1">
        <f>Table1[[#This Row],[Original Commissionable GMV]]-Table1[[#This Row],[Commission ]]-Table1[[#This Row],[Commission VAT]]-Table1[[#This Row],[FreeDeliveryFund]]</f>
        <v>463.97113440000004</v>
      </c>
      <c r="AY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M522" s="2"/>
    </row>
    <row r="523" spans="12:65" x14ac:dyDescent="0.25">
      <c r="L523" s="2">
        <v>504016</v>
      </c>
      <c r="M523" s="2" t="s">
        <v>52</v>
      </c>
      <c r="N523" s="2">
        <v>505839</v>
      </c>
      <c r="O523" t="s">
        <v>53</v>
      </c>
      <c r="P523">
        <v>3406699820</v>
      </c>
      <c r="Q523" s="5">
        <v>46040.727534722224</v>
      </c>
      <c r="R523" s="2" t="s">
        <v>66</v>
      </c>
      <c r="S523" s="2" t="s">
        <v>51</v>
      </c>
      <c r="T523" s="2" t="s">
        <v>55</v>
      </c>
      <c r="U523" s="2" t="s">
        <v>56</v>
      </c>
      <c r="V523" s="2" t="s">
        <v>57</v>
      </c>
      <c r="W523" s="2" t="s">
        <v>58</v>
      </c>
      <c r="X523" s="2" t="s">
        <v>59</v>
      </c>
      <c r="Y523" s="1">
        <v>1206.32</v>
      </c>
      <c r="Z523" s="1">
        <v>1206.32</v>
      </c>
      <c r="AA523" s="1">
        <v>34.99</v>
      </c>
      <c r="AB523" s="1">
        <v>29.99</v>
      </c>
      <c r="AC523" s="1">
        <v>0</v>
      </c>
      <c r="AD523" s="1">
        <v>156.12456</v>
      </c>
      <c r="AE523" s="1">
        <v>1271.3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21.110600000000002</v>
      </c>
      <c r="AP523" s="1">
        <v>2.9554840000000002</v>
      </c>
      <c r="AQ523" s="1">
        <v>1058.17544</v>
      </c>
      <c r="AR523" s="1">
        <v>1058.17544</v>
      </c>
      <c r="AS523" s="1">
        <v>264.54386</v>
      </c>
      <c r="AT523" s="1">
        <v>37.036140400000001</v>
      </c>
      <c r="AU523" s="1">
        <v>0</v>
      </c>
      <c r="AV523" s="2" t="s">
        <v>69</v>
      </c>
      <c r="AW523" s="1">
        <v>880.67399999999998</v>
      </c>
      <c r="AX523" s="1">
        <f>Table1[[#This Row],[Original Commissionable GMV]]-Table1[[#This Row],[Commission ]]-Table1[[#This Row],[Commission VAT]]-Table1[[#This Row],[FreeDeliveryFund]]</f>
        <v>756.59543959999996</v>
      </c>
      <c r="AY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M523" s="2"/>
    </row>
    <row r="524" spans="12:65" x14ac:dyDescent="0.25">
      <c r="L524" s="2">
        <v>504016</v>
      </c>
      <c r="M524" s="2" t="s">
        <v>52</v>
      </c>
      <c r="N524" s="2">
        <v>505839</v>
      </c>
      <c r="O524" t="s">
        <v>63</v>
      </c>
      <c r="P524">
        <v>3406732001</v>
      </c>
      <c r="Q524" s="5">
        <v>46040.737303240741</v>
      </c>
      <c r="R524" s="2" t="s">
        <v>54</v>
      </c>
      <c r="S524" s="2" t="s">
        <v>51</v>
      </c>
      <c r="T524" s="2" t="s">
        <v>55</v>
      </c>
      <c r="U524" s="2" t="s">
        <v>56</v>
      </c>
      <c r="V524" s="2" t="s">
        <v>57</v>
      </c>
      <c r="W524" s="2" t="s">
        <v>58</v>
      </c>
      <c r="X524" s="2" t="s">
        <v>59</v>
      </c>
      <c r="Y524" s="1">
        <v>263.99</v>
      </c>
      <c r="Z524" s="1">
        <v>263.99</v>
      </c>
      <c r="AA524" s="1">
        <v>26.99</v>
      </c>
      <c r="AB524" s="1">
        <v>13.2</v>
      </c>
      <c r="AC524" s="1">
        <v>0</v>
      </c>
      <c r="AD524" s="1">
        <v>37.355440000000002</v>
      </c>
      <c r="AE524" s="1">
        <v>304.18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4.6198249999999996</v>
      </c>
      <c r="AP524" s="1">
        <v>0.64677549999999995</v>
      </c>
      <c r="AQ524" s="1">
        <v>231.57017999999999</v>
      </c>
      <c r="AR524" s="1">
        <v>231.57017999999999</v>
      </c>
      <c r="AS524" s="1">
        <v>57.89255</v>
      </c>
      <c r="AT524" s="1">
        <v>8.1049570000000006</v>
      </c>
      <c r="AU524" s="1">
        <v>0</v>
      </c>
      <c r="AV524" s="2" t="s">
        <v>69</v>
      </c>
      <c r="AW524" s="1">
        <v>192.726</v>
      </c>
      <c r="AX524" s="1">
        <f>Table1[[#This Row],[Original Commissionable GMV]]-Table1[[#This Row],[Commission ]]-Table1[[#This Row],[Commission VAT]]-Table1[[#This Row],[FreeDeliveryFund]]</f>
        <v>165.57267299999998</v>
      </c>
      <c r="AY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M524" s="2"/>
    </row>
    <row r="525" spans="12:65" x14ac:dyDescent="0.25">
      <c r="L525" s="2">
        <v>504016</v>
      </c>
      <c r="M525" s="2" t="s">
        <v>52</v>
      </c>
      <c r="N525" s="2">
        <v>505839</v>
      </c>
      <c r="O525" t="s">
        <v>63</v>
      </c>
      <c r="P525">
        <v>3406748303</v>
      </c>
      <c r="Q525" s="5">
        <v>46040.742268518516</v>
      </c>
      <c r="R525" s="2" t="s">
        <v>54</v>
      </c>
      <c r="S525" s="2" t="s">
        <v>51</v>
      </c>
      <c r="T525" s="2" t="s">
        <v>55</v>
      </c>
      <c r="U525" s="2" t="s">
        <v>56</v>
      </c>
      <c r="V525" s="2" t="s">
        <v>57</v>
      </c>
      <c r="W525" s="2" t="s">
        <v>58</v>
      </c>
      <c r="X525" s="2" t="s">
        <v>59</v>
      </c>
      <c r="Y525" s="1">
        <v>341.58</v>
      </c>
      <c r="Z525" s="1">
        <v>341.58</v>
      </c>
      <c r="AA525" s="1">
        <v>7</v>
      </c>
      <c r="AB525" s="1">
        <v>17.079999999999998</v>
      </c>
      <c r="AC525" s="1">
        <v>0</v>
      </c>
      <c r="AD525" s="1">
        <v>44.905610000000003</v>
      </c>
      <c r="AE525" s="1">
        <v>365.66</v>
      </c>
      <c r="AG525" s="1">
        <v>0</v>
      </c>
      <c r="AH525" s="1">
        <v>0</v>
      </c>
      <c r="AI525" s="1">
        <v>0</v>
      </c>
      <c r="AJ525" s="1">
        <v>80</v>
      </c>
      <c r="AK525" s="1">
        <v>0</v>
      </c>
      <c r="AL525" s="1">
        <v>0</v>
      </c>
      <c r="AM525" s="1">
        <v>0</v>
      </c>
      <c r="AN525" s="1">
        <v>0</v>
      </c>
      <c r="AO525" s="1">
        <v>5.9776499999999997</v>
      </c>
      <c r="AP525" s="1">
        <v>0.83687100000000003</v>
      </c>
      <c r="AQ525" s="1">
        <v>299.63157999999999</v>
      </c>
      <c r="AR525" s="1">
        <v>299.63157999999999</v>
      </c>
      <c r="AS525" s="1">
        <v>74.907899999999998</v>
      </c>
      <c r="AT525" s="1">
        <v>10.487106000000001</v>
      </c>
      <c r="AU525" s="1">
        <v>30.99</v>
      </c>
      <c r="AV525" s="2" t="s">
        <v>60</v>
      </c>
      <c r="AW525" s="1">
        <v>218.38</v>
      </c>
      <c r="AX525" s="1">
        <f>Table1[[#This Row],[Original Commissionable GMV]]-Table1[[#This Row],[Commission ]]-Table1[[#This Row],[Commission VAT]]-Table1[[#This Row],[FreeDeliveryFund]]</f>
        <v>183.24657399999998</v>
      </c>
      <c r="AY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M525" s="2"/>
    </row>
    <row r="526" spans="12:65" x14ac:dyDescent="0.25">
      <c r="L526" s="2">
        <v>504016</v>
      </c>
      <c r="M526" s="2" t="s">
        <v>52</v>
      </c>
      <c r="N526" s="2">
        <v>505837</v>
      </c>
      <c r="O526" t="s">
        <v>53</v>
      </c>
      <c r="P526">
        <v>3406765923</v>
      </c>
      <c r="Q526" s="5">
        <v>46040.74759259259</v>
      </c>
      <c r="R526" s="2" t="s">
        <v>54</v>
      </c>
      <c r="S526" s="2" t="s">
        <v>51</v>
      </c>
      <c r="T526" s="2" t="s">
        <v>55</v>
      </c>
      <c r="U526" s="2" t="s">
        <v>56</v>
      </c>
      <c r="V526" s="2" t="s">
        <v>57</v>
      </c>
      <c r="W526" s="2" t="s">
        <v>58</v>
      </c>
      <c r="X526" s="2" t="s">
        <v>59</v>
      </c>
      <c r="Y526" s="1">
        <v>249.99</v>
      </c>
      <c r="Z526" s="1">
        <v>249.99</v>
      </c>
      <c r="AA526" s="1">
        <v>0</v>
      </c>
      <c r="AB526" s="1">
        <v>12.5</v>
      </c>
      <c r="AC526" s="1">
        <v>0</v>
      </c>
      <c r="AD526" s="1">
        <v>32.235610000000001</v>
      </c>
      <c r="AE526" s="1">
        <v>262.49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4.3748250000000004</v>
      </c>
      <c r="AP526" s="1">
        <v>0.61247549999999995</v>
      </c>
      <c r="AQ526" s="1">
        <v>219.28946999999999</v>
      </c>
      <c r="AR526" s="1">
        <v>219.28946999999999</v>
      </c>
      <c r="AS526" s="1">
        <v>54.822369999999999</v>
      </c>
      <c r="AT526" s="1">
        <v>7.6751317999999999</v>
      </c>
      <c r="AU526" s="1">
        <v>30.99</v>
      </c>
      <c r="AV526" s="2" t="s">
        <v>60</v>
      </c>
      <c r="AW526" s="1">
        <v>151.51499999999999</v>
      </c>
      <c r="AX526" s="1">
        <f>Table1[[#This Row],[Original Commissionable GMV]]-Table1[[#This Row],[Commission ]]-Table1[[#This Row],[Commission VAT]]-Table1[[#This Row],[FreeDeliveryFund]]</f>
        <v>125.80196819999999</v>
      </c>
      <c r="AY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M526" s="2"/>
    </row>
    <row r="527" spans="12:65" x14ac:dyDescent="0.25">
      <c r="L527" s="2">
        <v>504016</v>
      </c>
      <c r="M527" s="2" t="s">
        <v>52</v>
      </c>
      <c r="N527" s="2">
        <v>505839</v>
      </c>
      <c r="O527" t="s">
        <v>63</v>
      </c>
      <c r="P527">
        <v>3406775885</v>
      </c>
      <c r="Q527" s="5">
        <v>46040.750555555554</v>
      </c>
      <c r="R527" s="2" t="s">
        <v>54</v>
      </c>
      <c r="S527" s="2" t="s">
        <v>51</v>
      </c>
      <c r="T527" s="2" t="s">
        <v>55</v>
      </c>
      <c r="U527" s="2" t="s">
        <v>56</v>
      </c>
      <c r="V527" s="2" t="s">
        <v>57</v>
      </c>
      <c r="W527" s="2" t="s">
        <v>58</v>
      </c>
      <c r="X527" s="2" t="s">
        <v>59</v>
      </c>
      <c r="Y527" s="1">
        <v>693.98</v>
      </c>
      <c r="Z527" s="1">
        <v>693.98</v>
      </c>
      <c r="AA527" s="1">
        <v>0</v>
      </c>
      <c r="AB527" s="1">
        <v>29.99</v>
      </c>
      <c r="AC527" s="1">
        <v>0</v>
      </c>
      <c r="AD527" s="1">
        <v>88.908600000000007</v>
      </c>
      <c r="AE527" s="1">
        <v>723.97</v>
      </c>
      <c r="AG527" s="1">
        <v>0</v>
      </c>
      <c r="AH527" s="1">
        <v>0</v>
      </c>
      <c r="AI527" s="1">
        <v>0</v>
      </c>
      <c r="AJ527" s="1">
        <v>62.4</v>
      </c>
      <c r="AK527" s="1">
        <v>0</v>
      </c>
      <c r="AL527" s="1">
        <v>0</v>
      </c>
      <c r="AM527" s="1">
        <v>0</v>
      </c>
      <c r="AN527" s="1">
        <v>0</v>
      </c>
      <c r="AO527" s="1">
        <v>12.14465</v>
      </c>
      <c r="AP527" s="1">
        <v>1.700251</v>
      </c>
      <c r="AQ527" s="1">
        <v>608.75438999999994</v>
      </c>
      <c r="AR527" s="1">
        <v>608.75438999999994</v>
      </c>
      <c r="AS527" s="1">
        <v>152.18860000000001</v>
      </c>
      <c r="AT527" s="1">
        <v>21.306404000000001</v>
      </c>
      <c r="AU527" s="1">
        <v>28.99</v>
      </c>
      <c r="AV527" s="2" t="s">
        <v>60</v>
      </c>
      <c r="AW527" s="1">
        <v>477.65</v>
      </c>
      <c r="AX527" s="1">
        <f>Table1[[#This Row],[Original Commissionable GMV]]-Table1[[#This Row],[Commission ]]-Table1[[#This Row],[Commission VAT]]-Table1[[#This Row],[FreeDeliveryFund]]</f>
        <v>406.26938599999994</v>
      </c>
      <c r="AY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M527" s="2"/>
    </row>
    <row r="528" spans="12:65" x14ac:dyDescent="0.25">
      <c r="L528" s="2">
        <v>504016</v>
      </c>
      <c r="M528" s="2" t="s">
        <v>52</v>
      </c>
      <c r="N528" s="2">
        <v>505837</v>
      </c>
      <c r="O528" t="s">
        <v>53</v>
      </c>
      <c r="P528">
        <v>3406819190</v>
      </c>
      <c r="Q528" s="5">
        <v>46040.763171296298</v>
      </c>
      <c r="R528" s="2" t="s">
        <v>54</v>
      </c>
      <c r="S528" s="2" t="s">
        <v>51</v>
      </c>
      <c r="T528" s="2" t="s">
        <v>55</v>
      </c>
      <c r="U528" s="2" t="s">
        <v>56</v>
      </c>
      <c r="V528" s="2" t="s">
        <v>57</v>
      </c>
      <c r="W528" s="2" t="s">
        <v>58</v>
      </c>
      <c r="X528" s="2" t="s">
        <v>59</v>
      </c>
      <c r="Y528" s="1">
        <v>453.96</v>
      </c>
      <c r="Z528" s="1">
        <v>453.96</v>
      </c>
      <c r="AA528" s="1">
        <v>9</v>
      </c>
      <c r="AB528" s="1">
        <v>22.7</v>
      </c>
      <c r="AC528" s="1">
        <v>0</v>
      </c>
      <c r="AD528" s="1">
        <v>59.64246</v>
      </c>
      <c r="AE528" s="1">
        <v>485.66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7.9443000000000001</v>
      </c>
      <c r="AP528" s="1">
        <v>1.1122019999999999</v>
      </c>
      <c r="AQ528" s="1">
        <v>398.21053000000001</v>
      </c>
      <c r="AR528" s="1">
        <v>398.21053000000001</v>
      </c>
      <c r="AS528" s="1">
        <v>99.552629999999994</v>
      </c>
      <c r="AT528" s="1">
        <v>13.9373682</v>
      </c>
      <c r="AU528" s="1">
        <v>32.99</v>
      </c>
      <c r="AV528" s="2" t="s">
        <v>60</v>
      </c>
      <c r="AW528" s="1">
        <v>298.423</v>
      </c>
      <c r="AX528" s="1">
        <f>Table1[[#This Row],[Original Commissionable GMV]]-Table1[[#This Row],[Commission ]]-Table1[[#This Row],[Commission VAT]]-Table1[[#This Row],[FreeDeliveryFund]]</f>
        <v>251.73053180000005</v>
      </c>
      <c r="AY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M528" s="2"/>
    </row>
    <row r="529" spans="12:65" x14ac:dyDescent="0.25">
      <c r="L529" s="2">
        <v>504016</v>
      </c>
      <c r="M529" s="2" t="s">
        <v>52</v>
      </c>
      <c r="N529" s="2">
        <v>505839</v>
      </c>
      <c r="O529" t="s">
        <v>53</v>
      </c>
      <c r="P529">
        <v>3406897577</v>
      </c>
      <c r="Q529" s="5">
        <v>46040.786203703705</v>
      </c>
      <c r="R529" s="2" t="s">
        <v>54</v>
      </c>
      <c r="S529" s="2" t="s">
        <v>51</v>
      </c>
      <c r="T529" s="2" t="s">
        <v>55</v>
      </c>
      <c r="U529" s="2" t="s">
        <v>56</v>
      </c>
      <c r="V529" s="2" t="s">
        <v>57</v>
      </c>
      <c r="W529" s="2" t="s">
        <v>58</v>
      </c>
      <c r="X529" s="2" t="s">
        <v>59</v>
      </c>
      <c r="Y529" s="1">
        <v>353.99</v>
      </c>
      <c r="Z529" s="1">
        <v>353.99</v>
      </c>
      <c r="AA529" s="1">
        <v>0</v>
      </c>
      <c r="AB529" s="1">
        <v>17.7</v>
      </c>
      <c r="AC529" s="1">
        <v>0</v>
      </c>
      <c r="AD529" s="1">
        <v>45.646140000000003</v>
      </c>
      <c r="AE529" s="1">
        <v>371.69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6.1948249999999998</v>
      </c>
      <c r="AP529" s="1">
        <v>0.86727549999999998</v>
      </c>
      <c r="AQ529" s="1">
        <v>310.51754</v>
      </c>
      <c r="AR529" s="1">
        <v>310.51754</v>
      </c>
      <c r="AS529" s="1">
        <v>77.629390000000001</v>
      </c>
      <c r="AT529" s="1">
        <v>10.8681146</v>
      </c>
      <c r="AU529" s="1">
        <v>35.99</v>
      </c>
      <c r="AV529" s="2" t="s">
        <v>60</v>
      </c>
      <c r="AW529" s="1">
        <v>222.44</v>
      </c>
      <c r="AX529" s="1">
        <f>Table1[[#This Row],[Original Commissionable GMV]]-Table1[[#This Row],[Commission ]]-Table1[[#This Row],[Commission VAT]]-Table1[[#This Row],[FreeDeliveryFund]]</f>
        <v>186.03003539999997</v>
      </c>
      <c r="AY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M529" s="2"/>
    </row>
    <row r="530" spans="12:65" x14ac:dyDescent="0.25">
      <c r="L530" s="2">
        <v>504016</v>
      </c>
      <c r="M530" s="2" t="s">
        <v>52</v>
      </c>
      <c r="N530" s="2">
        <v>505837</v>
      </c>
      <c r="O530" t="s">
        <v>63</v>
      </c>
      <c r="P530">
        <v>3406905356</v>
      </c>
      <c r="Q530" s="5">
        <v>46040.788483796299</v>
      </c>
      <c r="R530" s="2" t="s">
        <v>54</v>
      </c>
      <c r="S530" s="2" t="s">
        <v>51</v>
      </c>
      <c r="T530" s="2" t="s">
        <v>55</v>
      </c>
      <c r="U530" s="2" t="s">
        <v>59</v>
      </c>
      <c r="V530" s="2" t="s">
        <v>57</v>
      </c>
      <c r="W530" s="2" t="s">
        <v>58</v>
      </c>
      <c r="X530" s="2" t="s">
        <v>59</v>
      </c>
      <c r="Y530" s="1">
        <v>336.99</v>
      </c>
      <c r="Z530" s="1">
        <v>336.99</v>
      </c>
      <c r="AA530" s="1">
        <v>7</v>
      </c>
      <c r="AB530" s="1">
        <v>16.850000000000001</v>
      </c>
      <c r="AC530" s="1">
        <v>0</v>
      </c>
      <c r="AD530" s="1">
        <v>44.313679999999998</v>
      </c>
      <c r="AE530" s="1">
        <v>360.84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5.8973250000000004</v>
      </c>
      <c r="AP530" s="1">
        <v>0.82562550000000001</v>
      </c>
      <c r="AQ530" s="1">
        <v>295.60525999999999</v>
      </c>
      <c r="AR530" s="1">
        <v>295.60525999999999</v>
      </c>
      <c r="AS530" s="1">
        <v>73.901319999999998</v>
      </c>
      <c r="AT530" s="1">
        <v>10.3461848</v>
      </c>
      <c r="AU530" s="1">
        <v>29.99</v>
      </c>
      <c r="AV530" s="2" t="s">
        <v>60</v>
      </c>
      <c r="AW530" s="1">
        <v>216.03</v>
      </c>
      <c r="AX530" s="1">
        <f>Table1[[#This Row],[Original Commissionable GMV]]-Table1[[#This Row],[Commission ]]-Table1[[#This Row],[Commission VAT]]-Table1[[#This Row],[FreeDeliveryFund]]</f>
        <v>181.36775519999998</v>
      </c>
      <c r="AY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M530" s="2"/>
    </row>
    <row r="531" spans="12:65" x14ac:dyDescent="0.25">
      <c r="L531" s="2">
        <v>504016</v>
      </c>
      <c r="M531" s="2" t="s">
        <v>52</v>
      </c>
      <c r="N531" s="2">
        <v>505839</v>
      </c>
      <c r="O531" t="s">
        <v>65</v>
      </c>
      <c r="P531">
        <v>3406940596</v>
      </c>
      <c r="Q531" s="5">
        <v>46040.79891203704</v>
      </c>
      <c r="R531" s="2" t="s">
        <v>54</v>
      </c>
      <c r="S531" s="2" t="s">
        <v>51</v>
      </c>
      <c r="T531" s="2" t="s">
        <v>55</v>
      </c>
      <c r="U531" s="2" t="s">
        <v>59</v>
      </c>
      <c r="V531" s="2" t="s">
        <v>57</v>
      </c>
      <c r="W531" s="2" t="s">
        <v>58</v>
      </c>
      <c r="X531" s="2" t="s">
        <v>59</v>
      </c>
      <c r="Y531" s="1">
        <v>412.48</v>
      </c>
      <c r="Z531" s="1">
        <v>412.48</v>
      </c>
      <c r="AA531" s="1">
        <v>0</v>
      </c>
      <c r="AB531" s="1">
        <v>20.62</v>
      </c>
      <c r="AC531" s="1">
        <v>0</v>
      </c>
      <c r="AD531" s="1">
        <v>53.187719999999999</v>
      </c>
      <c r="AE531" s="1">
        <v>433.1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7.2183999999999999</v>
      </c>
      <c r="AP531" s="1">
        <v>1.0105759999999999</v>
      </c>
      <c r="AQ531" s="1">
        <v>361.82456000000002</v>
      </c>
      <c r="AR531" s="1">
        <v>361.82456000000002</v>
      </c>
      <c r="AS531" s="1">
        <v>90.456140000000005</v>
      </c>
      <c r="AT531" s="1">
        <v>12.6638596</v>
      </c>
      <c r="AU531" s="1">
        <v>26.99</v>
      </c>
      <c r="AV531" s="2" t="s">
        <v>60</v>
      </c>
      <c r="AW531" s="1">
        <v>274.14100000000002</v>
      </c>
      <c r="AX531" s="1">
        <f>Table1[[#This Row],[Original Commissionable GMV]]-Table1[[#This Row],[Commission ]]-Table1[[#This Row],[Commission VAT]]-Table1[[#This Row],[FreeDeliveryFund]]</f>
        <v>231.71456039999998</v>
      </c>
      <c r="AY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M531" s="2"/>
    </row>
    <row r="532" spans="12:65" x14ac:dyDescent="0.25">
      <c r="L532" s="2">
        <v>504016</v>
      </c>
      <c r="M532" s="2" t="s">
        <v>52</v>
      </c>
      <c r="N532" s="2">
        <v>505837</v>
      </c>
      <c r="O532" t="s">
        <v>53</v>
      </c>
      <c r="P532">
        <v>3406994981</v>
      </c>
      <c r="Q532" s="5">
        <v>46040.815358796295</v>
      </c>
      <c r="R532" s="2" t="s">
        <v>54</v>
      </c>
      <c r="S532" s="2" t="s">
        <v>51</v>
      </c>
      <c r="T532" s="2" t="s">
        <v>55</v>
      </c>
      <c r="U532" s="2" t="s">
        <v>59</v>
      </c>
      <c r="V532" s="2" t="s">
        <v>57</v>
      </c>
      <c r="W532" s="2" t="s">
        <v>58</v>
      </c>
      <c r="X532" s="2" t="s">
        <v>59</v>
      </c>
      <c r="Y532" s="1">
        <v>444.99</v>
      </c>
      <c r="Z532" s="1">
        <v>444.99</v>
      </c>
      <c r="AA532" s="1">
        <v>0</v>
      </c>
      <c r="AB532" s="1">
        <v>22.25</v>
      </c>
      <c r="AC532" s="1">
        <v>0</v>
      </c>
      <c r="AD532" s="1">
        <v>57.38035</v>
      </c>
      <c r="AE532" s="1">
        <v>467.24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7.7873250000000001</v>
      </c>
      <c r="AP532" s="1">
        <v>1.0902255000000001</v>
      </c>
      <c r="AQ532" s="1">
        <v>390.34210999999999</v>
      </c>
      <c r="AR532" s="1">
        <v>390.34210999999999</v>
      </c>
      <c r="AS532" s="1">
        <v>97.585530000000006</v>
      </c>
      <c r="AT532" s="1">
        <v>13.6619742</v>
      </c>
      <c r="AU532" s="1">
        <v>30.99</v>
      </c>
      <c r="AV532" s="2" t="s">
        <v>60</v>
      </c>
      <c r="AW532" s="1">
        <v>293.875</v>
      </c>
      <c r="AX532" s="1">
        <f>Table1[[#This Row],[Original Commissionable GMV]]-Table1[[#This Row],[Commission ]]-Table1[[#This Row],[Commission VAT]]-Table1[[#This Row],[FreeDeliveryFund]]</f>
        <v>248.1046058</v>
      </c>
      <c r="AY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M532" s="2"/>
    </row>
    <row r="533" spans="12:65" x14ac:dyDescent="0.25">
      <c r="L533" s="2">
        <v>504016</v>
      </c>
      <c r="M533" s="2" t="s">
        <v>52</v>
      </c>
      <c r="N533" s="2">
        <v>505837</v>
      </c>
      <c r="O533" t="s">
        <v>63</v>
      </c>
      <c r="P533">
        <v>3407037596</v>
      </c>
      <c r="Q533" s="5">
        <v>46040.828645833331</v>
      </c>
      <c r="R533" s="2" t="s">
        <v>62</v>
      </c>
      <c r="S533" s="2" t="s">
        <v>51</v>
      </c>
      <c r="T533" s="2" t="s">
        <v>55</v>
      </c>
      <c r="U533" s="2" t="s">
        <v>59</v>
      </c>
      <c r="V533" s="2" t="s">
        <v>57</v>
      </c>
      <c r="W533" s="2" t="s">
        <v>58</v>
      </c>
      <c r="X533" s="2" t="s">
        <v>59</v>
      </c>
      <c r="Y533" s="1">
        <v>981.72</v>
      </c>
      <c r="Z533" s="1">
        <v>981.72</v>
      </c>
      <c r="AA533" s="1">
        <v>36.99</v>
      </c>
      <c r="AB533" s="1">
        <v>29.99</v>
      </c>
      <c r="AC533" s="1">
        <v>0</v>
      </c>
      <c r="AD533" s="1">
        <v>128.78772000000001</v>
      </c>
      <c r="AE533" s="1">
        <v>1048.7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861.15788999999995</v>
      </c>
      <c r="AR533" s="1">
        <v>861.15788999999995</v>
      </c>
      <c r="AS533" s="1">
        <v>215.28946999999999</v>
      </c>
      <c r="AT533" s="1">
        <v>30.140525799999999</v>
      </c>
      <c r="AU533" s="1">
        <v>0</v>
      </c>
      <c r="AV533" s="2" t="s">
        <v>69</v>
      </c>
      <c r="AW533" s="1">
        <v>736.29</v>
      </c>
      <c r="AX533" s="1">
        <f>Table1[[#This Row],[Original Commissionable GMV]]-Table1[[#This Row],[Commission ]]-Table1[[#This Row],[Commission VAT]]-Table1[[#This Row],[FreeDeliveryFund]]</f>
        <v>615.72789420000004</v>
      </c>
      <c r="AY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M533" s="2"/>
    </row>
    <row r="534" spans="12:65" x14ac:dyDescent="0.25">
      <c r="L534" s="2">
        <v>504016</v>
      </c>
      <c r="M534" s="2" t="s">
        <v>52</v>
      </c>
      <c r="N534" s="2">
        <v>505837</v>
      </c>
      <c r="O534" t="s">
        <v>63</v>
      </c>
      <c r="P534">
        <v>3407070828</v>
      </c>
      <c r="Q534" s="5">
        <v>46040.839386574073</v>
      </c>
      <c r="R534" s="2" t="s">
        <v>54</v>
      </c>
      <c r="S534" s="2" t="s">
        <v>51</v>
      </c>
      <c r="T534" s="2" t="s">
        <v>55</v>
      </c>
      <c r="U534" s="2" t="s">
        <v>56</v>
      </c>
      <c r="V534" s="2" t="s">
        <v>57</v>
      </c>
      <c r="W534" s="2" t="s">
        <v>58</v>
      </c>
      <c r="X534" s="2" t="s">
        <v>59</v>
      </c>
      <c r="Y534" s="1">
        <v>769.99</v>
      </c>
      <c r="Z534" s="1">
        <v>769.99</v>
      </c>
      <c r="AA534" s="1">
        <v>0</v>
      </c>
      <c r="AB534" s="1">
        <v>29.99</v>
      </c>
      <c r="AC534" s="1">
        <v>0</v>
      </c>
      <c r="AD534" s="1">
        <v>98.243160000000003</v>
      </c>
      <c r="AE534" s="1">
        <v>799.98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13.474824999999999</v>
      </c>
      <c r="AP534" s="1">
        <v>1.8864755</v>
      </c>
      <c r="AQ534" s="1">
        <v>675.42981999999995</v>
      </c>
      <c r="AR534" s="1">
        <v>675.42981999999995</v>
      </c>
      <c r="AS534" s="1">
        <v>168.85746</v>
      </c>
      <c r="AT534" s="1">
        <v>23.640044400000001</v>
      </c>
      <c r="AU534" s="1">
        <v>30.99</v>
      </c>
      <c r="AV534" s="2" t="s">
        <v>60</v>
      </c>
      <c r="AW534" s="1">
        <v>531.14099999999996</v>
      </c>
      <c r="AX534" s="1">
        <f>Table1[[#This Row],[Original Commissionable GMV]]-Table1[[#This Row],[Commission ]]-Table1[[#This Row],[Commission VAT]]-Table1[[#This Row],[FreeDeliveryFund]]</f>
        <v>451.94231559999992</v>
      </c>
      <c r="AY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M534" s="2"/>
    </row>
    <row r="535" spans="12:65" x14ac:dyDescent="0.25">
      <c r="L535" s="2">
        <v>504016</v>
      </c>
      <c r="M535" s="2" t="s">
        <v>52</v>
      </c>
      <c r="N535" s="2">
        <v>505839</v>
      </c>
      <c r="O535" t="s">
        <v>65</v>
      </c>
      <c r="P535">
        <v>3407123582</v>
      </c>
      <c r="Q535" s="5">
        <v>46040.856689814813</v>
      </c>
      <c r="R535" s="2" t="s">
        <v>62</v>
      </c>
      <c r="S535" s="2" t="s">
        <v>51</v>
      </c>
      <c r="T535" s="2" t="s">
        <v>55</v>
      </c>
      <c r="U535" s="2" t="s">
        <v>56</v>
      </c>
      <c r="V535" s="2" t="s">
        <v>57</v>
      </c>
      <c r="W535" s="2" t="s">
        <v>58</v>
      </c>
      <c r="X535" s="2" t="s">
        <v>59</v>
      </c>
      <c r="Y535" s="1">
        <v>600.27</v>
      </c>
      <c r="Z535" s="1">
        <v>600.27</v>
      </c>
      <c r="AA535" s="1">
        <v>36.99</v>
      </c>
      <c r="AB535" s="1">
        <v>29.99</v>
      </c>
      <c r="AC535" s="1">
        <v>0</v>
      </c>
      <c r="AD535" s="1">
        <v>81.942980000000006</v>
      </c>
      <c r="AE535" s="1">
        <v>667.25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526.55263000000002</v>
      </c>
      <c r="AR535" s="1">
        <v>526.55263000000002</v>
      </c>
      <c r="AS535" s="1">
        <v>131.63816</v>
      </c>
      <c r="AT535" s="1">
        <v>18.429342399999999</v>
      </c>
      <c r="AU535" s="1">
        <v>0</v>
      </c>
      <c r="AV535" s="2" t="s">
        <v>69</v>
      </c>
      <c r="AW535" s="1">
        <v>450.202</v>
      </c>
      <c r="AX535" s="1">
        <f>Table1[[#This Row],[Original Commissionable GMV]]-Table1[[#This Row],[Commission ]]-Table1[[#This Row],[Commission VAT]]-Table1[[#This Row],[FreeDeliveryFund]]</f>
        <v>376.48512760000006</v>
      </c>
      <c r="AY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M535" s="2"/>
    </row>
    <row r="536" spans="12:65" x14ac:dyDescent="0.25">
      <c r="L536" s="2">
        <v>504016</v>
      </c>
      <c r="M536" s="2" t="s">
        <v>52</v>
      </c>
      <c r="N536" s="2">
        <v>505839</v>
      </c>
      <c r="O536" t="s">
        <v>53</v>
      </c>
      <c r="P536">
        <v>3407142597</v>
      </c>
      <c r="Q536" s="5">
        <v>46040.863159722219</v>
      </c>
      <c r="R536" s="2" t="s">
        <v>54</v>
      </c>
      <c r="S536" s="2" t="s">
        <v>51</v>
      </c>
      <c r="T536" s="2" t="s">
        <v>55</v>
      </c>
      <c r="U536" s="2" t="s">
        <v>56</v>
      </c>
      <c r="V536" s="2" t="s">
        <v>57</v>
      </c>
      <c r="W536" s="2" t="s">
        <v>58</v>
      </c>
      <c r="X536" s="2" t="s">
        <v>59</v>
      </c>
      <c r="Y536" s="1">
        <v>563.16</v>
      </c>
      <c r="Z536" s="1">
        <v>563.16</v>
      </c>
      <c r="AA536" s="1">
        <v>31.99</v>
      </c>
      <c r="AB536" s="1">
        <v>28.16</v>
      </c>
      <c r="AC536" s="1">
        <v>0</v>
      </c>
      <c r="AD536" s="1">
        <v>76.546840000000003</v>
      </c>
      <c r="AE536" s="1">
        <v>623.30999999999995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9.8552999999999997</v>
      </c>
      <c r="AP536" s="1">
        <v>1.379742</v>
      </c>
      <c r="AQ536" s="1">
        <v>494</v>
      </c>
      <c r="AR536" s="1">
        <v>494</v>
      </c>
      <c r="AS536" s="1">
        <v>123.5</v>
      </c>
      <c r="AT536" s="1">
        <v>17.29</v>
      </c>
      <c r="AU536" s="1">
        <v>0</v>
      </c>
      <c r="AV536" s="2" t="s">
        <v>69</v>
      </c>
      <c r="AW536" s="1">
        <v>411.13499999999999</v>
      </c>
      <c r="AX536" s="1">
        <f>Table1[[#This Row],[Original Commissionable GMV]]-Table1[[#This Row],[Commission ]]-Table1[[#This Row],[Commission VAT]]-Table1[[#This Row],[FreeDeliveryFund]]</f>
        <v>353.21</v>
      </c>
      <c r="AY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M536" s="2"/>
    </row>
    <row r="537" spans="12:65" x14ac:dyDescent="0.25">
      <c r="L537" s="2">
        <v>504016</v>
      </c>
      <c r="M537" s="2" t="s">
        <v>52</v>
      </c>
      <c r="N537" s="2">
        <v>505839</v>
      </c>
      <c r="O537" t="s">
        <v>65</v>
      </c>
      <c r="P537">
        <v>3407191324</v>
      </c>
      <c r="Q537" s="5">
        <v>46040.880578703705</v>
      </c>
      <c r="R537" s="2" t="s">
        <v>66</v>
      </c>
      <c r="S537" s="2" t="s">
        <v>51</v>
      </c>
      <c r="T537" s="2" t="s">
        <v>55</v>
      </c>
      <c r="U537" s="2" t="s">
        <v>56</v>
      </c>
      <c r="V537" s="2" t="s">
        <v>57</v>
      </c>
      <c r="W537" s="2" t="s">
        <v>58</v>
      </c>
      <c r="X537" s="2" t="s">
        <v>59</v>
      </c>
      <c r="Y537" s="1">
        <v>500.5</v>
      </c>
      <c r="Z537" s="1">
        <v>500.5</v>
      </c>
      <c r="AA537" s="1">
        <v>7</v>
      </c>
      <c r="AB537" s="1">
        <v>25.03</v>
      </c>
      <c r="AC537" s="1">
        <v>0</v>
      </c>
      <c r="AD537" s="1">
        <v>65.398420000000002</v>
      </c>
      <c r="AE537" s="1">
        <v>532.53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8.7587499999999991</v>
      </c>
      <c r="AP537" s="1">
        <v>1.2262249999999999</v>
      </c>
      <c r="AQ537" s="1">
        <v>439.03509000000003</v>
      </c>
      <c r="AR537" s="1">
        <v>439.03509000000003</v>
      </c>
      <c r="AS537" s="1">
        <v>109.75877</v>
      </c>
      <c r="AT537" s="1">
        <v>15.366227800000001</v>
      </c>
      <c r="AU537" s="1">
        <v>29.99</v>
      </c>
      <c r="AV537" s="2" t="s">
        <v>60</v>
      </c>
      <c r="AW537" s="1">
        <v>335.4</v>
      </c>
      <c r="AX537" s="1">
        <f>Table1[[#This Row],[Original Commissionable GMV]]-Table1[[#This Row],[Commission ]]-Table1[[#This Row],[Commission VAT]]-Table1[[#This Row],[FreeDeliveryFund]]</f>
        <v>283.92009220000006</v>
      </c>
      <c r="AY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M537" s="2"/>
    </row>
    <row r="538" spans="12:65" x14ac:dyDescent="0.25">
      <c r="L538" s="2">
        <v>504016</v>
      </c>
      <c r="M538" s="2" t="s">
        <v>52</v>
      </c>
      <c r="N538" s="2">
        <v>505839</v>
      </c>
      <c r="O538" t="s">
        <v>65</v>
      </c>
      <c r="P538">
        <v>3407200314</v>
      </c>
      <c r="Q538" s="5">
        <v>46040.883946759262</v>
      </c>
      <c r="R538" s="2" t="s">
        <v>54</v>
      </c>
      <c r="S538" s="2" t="s">
        <v>51</v>
      </c>
      <c r="T538" s="2" t="s">
        <v>55</v>
      </c>
      <c r="U538" s="2" t="s">
        <v>56</v>
      </c>
      <c r="V538" s="2" t="s">
        <v>57</v>
      </c>
      <c r="W538" s="2" t="s">
        <v>58</v>
      </c>
      <c r="X538" s="2" t="s">
        <v>59</v>
      </c>
      <c r="Y538" s="1">
        <v>265</v>
      </c>
      <c r="Z538" s="1">
        <v>265</v>
      </c>
      <c r="AA538" s="1">
        <v>0</v>
      </c>
      <c r="AB538" s="1">
        <v>13.25</v>
      </c>
      <c r="AC538" s="1">
        <v>0</v>
      </c>
      <c r="AD538" s="1">
        <v>34.171050000000001</v>
      </c>
      <c r="AE538" s="1">
        <v>278.25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4.6375000000000002</v>
      </c>
      <c r="AP538" s="1">
        <v>0.64924999999999999</v>
      </c>
      <c r="AQ538" s="1">
        <v>232.45614</v>
      </c>
      <c r="AR538" s="1">
        <v>232.45614</v>
      </c>
      <c r="AS538" s="1">
        <v>58.114040000000003</v>
      </c>
      <c r="AT538" s="1">
        <v>8.1359656000000005</v>
      </c>
      <c r="AU538" s="1">
        <v>27.99</v>
      </c>
      <c r="AV538" s="2" t="s">
        <v>60</v>
      </c>
      <c r="AW538" s="1">
        <v>165.47300000000001</v>
      </c>
      <c r="AX538" s="1">
        <f>Table1[[#This Row],[Original Commissionable GMV]]-Table1[[#This Row],[Commission ]]-Table1[[#This Row],[Commission VAT]]-Table1[[#This Row],[FreeDeliveryFund]]</f>
        <v>138.21613440000002</v>
      </c>
      <c r="AY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M538" s="2"/>
    </row>
    <row r="539" spans="12:65" x14ac:dyDescent="0.25">
      <c r="L539" s="2">
        <v>504016</v>
      </c>
      <c r="M539" s="2" t="s">
        <v>52</v>
      </c>
      <c r="N539" s="2">
        <v>505837</v>
      </c>
      <c r="O539" t="s">
        <v>63</v>
      </c>
      <c r="P539">
        <v>3407248176</v>
      </c>
      <c r="Q539" s="5">
        <v>46040.902673611112</v>
      </c>
      <c r="R539" s="2" t="s">
        <v>62</v>
      </c>
      <c r="S539" s="2" t="s">
        <v>51</v>
      </c>
      <c r="T539" s="2" t="s">
        <v>55</v>
      </c>
      <c r="U539" s="2" t="s">
        <v>56</v>
      </c>
      <c r="V539" s="2" t="s">
        <v>57</v>
      </c>
      <c r="W539" s="2" t="s">
        <v>58</v>
      </c>
      <c r="X539" s="2" t="s">
        <v>59</v>
      </c>
      <c r="Y539" s="1">
        <v>615.98</v>
      </c>
      <c r="Z539" s="1">
        <v>615.98</v>
      </c>
      <c r="AA539" s="1">
        <v>29.99</v>
      </c>
      <c r="AB539" s="1">
        <v>29.99</v>
      </c>
      <c r="AC539" s="1">
        <v>0</v>
      </c>
      <c r="AD539" s="1">
        <v>83.012630000000001</v>
      </c>
      <c r="AE539" s="1">
        <v>675.96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540.33333000000005</v>
      </c>
      <c r="AR539" s="1">
        <v>540.33333000000005</v>
      </c>
      <c r="AS539" s="1">
        <v>135.08332999999999</v>
      </c>
      <c r="AT539" s="1">
        <v>18.911666199999999</v>
      </c>
      <c r="AU539" s="1">
        <v>0</v>
      </c>
      <c r="AV539" s="2" t="s">
        <v>69</v>
      </c>
      <c r="AW539" s="1">
        <v>461.98500000000001</v>
      </c>
      <c r="AX539" s="1">
        <f>Table1[[#This Row],[Original Commissionable GMV]]-Table1[[#This Row],[Commission ]]-Table1[[#This Row],[Commission VAT]]-Table1[[#This Row],[FreeDeliveryFund]]</f>
        <v>386.33833380000004</v>
      </c>
      <c r="AY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M539" s="2"/>
    </row>
    <row r="540" spans="12:65" x14ac:dyDescent="0.25">
      <c r="L540" s="2">
        <v>504016</v>
      </c>
      <c r="M540" s="2" t="s">
        <v>52</v>
      </c>
      <c r="N540" s="2">
        <v>505837</v>
      </c>
      <c r="O540" t="s">
        <v>63</v>
      </c>
      <c r="P540">
        <v>3407248211</v>
      </c>
      <c r="Q540" s="5">
        <v>46040.902685185189</v>
      </c>
      <c r="R540" s="2" t="s">
        <v>54</v>
      </c>
      <c r="S540" s="2" t="s">
        <v>51</v>
      </c>
      <c r="T540" s="2" t="s">
        <v>55</v>
      </c>
      <c r="U540" s="2" t="s">
        <v>56</v>
      </c>
      <c r="V540" s="2" t="s">
        <v>57</v>
      </c>
      <c r="W540" s="2" t="s">
        <v>58</v>
      </c>
      <c r="X540" s="2" t="s">
        <v>59</v>
      </c>
      <c r="Y540" s="1">
        <v>266.99</v>
      </c>
      <c r="Z540" s="1">
        <v>266.99</v>
      </c>
      <c r="AA540" s="1">
        <v>27.99</v>
      </c>
      <c r="AB540" s="1">
        <v>13.35</v>
      </c>
      <c r="AC540" s="1">
        <v>0</v>
      </c>
      <c r="AD540" s="1">
        <v>37.865090000000002</v>
      </c>
      <c r="AE540" s="1">
        <v>308.33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45</v>
      </c>
      <c r="AM540" s="1">
        <v>0</v>
      </c>
      <c r="AN540" s="1">
        <v>0</v>
      </c>
      <c r="AO540" s="1">
        <v>4.6723249999999998</v>
      </c>
      <c r="AP540" s="1">
        <v>0.65412550000000003</v>
      </c>
      <c r="AQ540" s="1">
        <v>234.20175</v>
      </c>
      <c r="AR540" s="1">
        <v>234.20175</v>
      </c>
      <c r="AS540" s="1">
        <v>58.550440000000002</v>
      </c>
      <c r="AT540" s="1">
        <v>8.1970615999999996</v>
      </c>
      <c r="AU540" s="1">
        <v>0</v>
      </c>
      <c r="AV540" s="2" t="s">
        <v>69</v>
      </c>
      <c r="AW540" s="1">
        <v>194.916</v>
      </c>
      <c r="AX540" s="1">
        <f>Table1[[#This Row],[Original Commissionable GMV]]-Table1[[#This Row],[Commission ]]-Table1[[#This Row],[Commission VAT]]-Table1[[#This Row],[FreeDeliveryFund]]</f>
        <v>167.45424839999998</v>
      </c>
      <c r="AY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M540" s="2"/>
    </row>
    <row r="541" spans="12:65" x14ac:dyDescent="0.25">
      <c r="L541" s="2">
        <v>504016</v>
      </c>
      <c r="M541" s="2" t="s">
        <v>52</v>
      </c>
      <c r="N541" s="2">
        <v>505837</v>
      </c>
      <c r="O541" t="s">
        <v>63</v>
      </c>
      <c r="P541">
        <v>3407251305</v>
      </c>
      <c r="Q541" s="5">
        <v>46040.903993055559</v>
      </c>
      <c r="R541" s="2" t="s">
        <v>54</v>
      </c>
      <c r="S541" s="2" t="s">
        <v>51</v>
      </c>
      <c r="T541" s="2" t="s">
        <v>55</v>
      </c>
      <c r="U541" s="2" t="s">
        <v>56</v>
      </c>
      <c r="V541" s="2" t="s">
        <v>57</v>
      </c>
      <c r="W541" s="2" t="s">
        <v>58</v>
      </c>
      <c r="X541" s="2" t="s">
        <v>59</v>
      </c>
      <c r="Y541" s="1">
        <v>1112.95</v>
      </c>
      <c r="Z541" s="1">
        <v>1112.95</v>
      </c>
      <c r="AA541" s="1">
        <v>7</v>
      </c>
      <c r="AB541" s="1">
        <v>29.99</v>
      </c>
      <c r="AC541" s="1">
        <v>0</v>
      </c>
      <c r="AD541" s="1">
        <v>141.22069999999999</v>
      </c>
      <c r="AE541" s="1">
        <v>1149.94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19.476623249999999</v>
      </c>
      <c r="AP541" s="1">
        <v>2.7267272550000001</v>
      </c>
      <c r="AQ541" s="1">
        <v>976.27193</v>
      </c>
      <c r="AR541" s="1">
        <v>976.27193</v>
      </c>
      <c r="AS541" s="1">
        <v>244.06798000000001</v>
      </c>
      <c r="AT541" s="1">
        <v>34.169517200000001</v>
      </c>
      <c r="AU541" s="1">
        <v>26.99</v>
      </c>
      <c r="AV541" s="2" t="s">
        <v>60</v>
      </c>
      <c r="AW541" s="1">
        <v>785.51900000000001</v>
      </c>
      <c r="AX541" s="1">
        <f>Table1[[#This Row],[Original Commissionable GMV]]-Table1[[#This Row],[Commission ]]-Table1[[#This Row],[Commission VAT]]-Table1[[#This Row],[FreeDeliveryFund]]</f>
        <v>671.04443279999998</v>
      </c>
      <c r="AY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M541" s="2"/>
    </row>
    <row r="542" spans="12:65" x14ac:dyDescent="0.25">
      <c r="L542" s="2">
        <v>504016</v>
      </c>
      <c r="M542" s="2" t="s">
        <v>52</v>
      </c>
      <c r="N542" s="2">
        <v>505839</v>
      </c>
      <c r="O542" t="s">
        <v>63</v>
      </c>
      <c r="P542">
        <v>3407291349</v>
      </c>
      <c r="Q542" s="5">
        <v>46040.921678240738</v>
      </c>
      <c r="R542" s="2" t="s">
        <v>54</v>
      </c>
      <c r="S542" s="2" t="s">
        <v>51</v>
      </c>
      <c r="T542" s="2" t="s">
        <v>55</v>
      </c>
      <c r="U542" s="2" t="s">
        <v>59</v>
      </c>
      <c r="V542" s="2" t="s">
        <v>57</v>
      </c>
      <c r="W542" s="2" t="s">
        <v>58</v>
      </c>
      <c r="X542" s="2" t="s">
        <v>59</v>
      </c>
      <c r="Y542" s="1">
        <v>661.58</v>
      </c>
      <c r="Z542" s="1">
        <v>661.58</v>
      </c>
      <c r="AA542" s="1">
        <v>27.99</v>
      </c>
      <c r="AB542" s="1">
        <v>29.99</v>
      </c>
      <c r="AC542" s="1">
        <v>0</v>
      </c>
      <c r="AD542" s="1">
        <v>88.367019999999997</v>
      </c>
      <c r="AE542" s="1">
        <v>719.56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11.57765</v>
      </c>
      <c r="AP542" s="1">
        <v>1.620871</v>
      </c>
      <c r="AQ542" s="1">
        <v>580.33333000000005</v>
      </c>
      <c r="AR542" s="1">
        <v>580.33333000000005</v>
      </c>
      <c r="AS542" s="1">
        <v>145.08332999999999</v>
      </c>
      <c r="AT542" s="1">
        <v>20.311666200000001</v>
      </c>
      <c r="AU542" s="1">
        <v>0</v>
      </c>
      <c r="AV542" s="2" t="s">
        <v>69</v>
      </c>
      <c r="AW542" s="1">
        <v>482.98599999999999</v>
      </c>
      <c r="AX542" s="1">
        <f>Table1[[#This Row],[Original Commissionable GMV]]-Table1[[#This Row],[Commission ]]-Table1[[#This Row],[Commission VAT]]-Table1[[#This Row],[FreeDeliveryFund]]</f>
        <v>414.93833380000007</v>
      </c>
      <c r="AY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M542" s="2"/>
    </row>
    <row r="543" spans="12:65" x14ac:dyDescent="0.25">
      <c r="L543" s="2">
        <v>504016</v>
      </c>
      <c r="M543" s="2" t="s">
        <v>52</v>
      </c>
      <c r="N543" s="2">
        <v>505839</v>
      </c>
      <c r="O543" t="s">
        <v>53</v>
      </c>
      <c r="P543">
        <v>3407861085</v>
      </c>
      <c r="Q543" s="5">
        <v>46041.502997685187</v>
      </c>
      <c r="R543" s="2" t="s">
        <v>62</v>
      </c>
      <c r="S543" s="2" t="s">
        <v>51</v>
      </c>
      <c r="T543" s="2" t="s">
        <v>55</v>
      </c>
      <c r="U543" s="2" t="s">
        <v>56</v>
      </c>
      <c r="V543" s="2" t="s">
        <v>57</v>
      </c>
      <c r="W543" s="2" t="s">
        <v>58</v>
      </c>
      <c r="X543" s="2" t="s">
        <v>59</v>
      </c>
      <c r="Y543" s="1">
        <v>329.99</v>
      </c>
      <c r="Z543" s="1">
        <v>329.99</v>
      </c>
      <c r="AA543" s="1">
        <v>33.99</v>
      </c>
      <c r="AB543" s="1">
        <v>16.5</v>
      </c>
      <c r="AC543" s="1">
        <v>0</v>
      </c>
      <c r="AD543" s="1">
        <v>46.725610000000003</v>
      </c>
      <c r="AE543" s="1">
        <v>380.48</v>
      </c>
      <c r="AG543" s="1">
        <v>69.989999999999995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30</v>
      </c>
      <c r="AN543" s="1">
        <v>4.2</v>
      </c>
      <c r="AO543" s="1">
        <v>0</v>
      </c>
      <c r="AP543" s="1">
        <v>0</v>
      </c>
      <c r="AQ543" s="1">
        <v>289.46490999999997</v>
      </c>
      <c r="AR543" s="1">
        <v>289.46490999999997</v>
      </c>
      <c r="AS543" s="1">
        <v>72.366230000000002</v>
      </c>
      <c r="AT543" s="1">
        <v>10.1312722</v>
      </c>
      <c r="AU543" s="1">
        <v>0</v>
      </c>
      <c r="AV543" s="2" t="s">
        <v>69</v>
      </c>
      <c r="AW543" s="1">
        <v>213.292</v>
      </c>
      <c r="AX543" s="1">
        <f>Table1[[#This Row],[Original Commissionable GMV]]-Table1[[#This Row],[Commission ]]-Table1[[#This Row],[Commission VAT]]-Table1[[#This Row],[FreeDeliveryFund]]</f>
        <v>206.96740779999996</v>
      </c>
      <c r="AY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M543" s="2"/>
    </row>
    <row r="544" spans="12:65" x14ac:dyDescent="0.25">
      <c r="L544" s="2">
        <v>504016</v>
      </c>
      <c r="M544" s="2" t="s">
        <v>52</v>
      </c>
      <c r="N544" s="2">
        <v>505839</v>
      </c>
      <c r="O544" t="s">
        <v>63</v>
      </c>
      <c r="P544">
        <v>3407893833</v>
      </c>
      <c r="Q544" s="5">
        <v>46041.517962962964</v>
      </c>
      <c r="R544" s="2" t="s">
        <v>54</v>
      </c>
      <c r="S544" s="2" t="s">
        <v>51</v>
      </c>
      <c r="T544" s="2" t="s">
        <v>55</v>
      </c>
      <c r="U544" s="2" t="s">
        <v>56</v>
      </c>
      <c r="V544" s="2" t="s">
        <v>57</v>
      </c>
      <c r="W544" s="2" t="s">
        <v>58</v>
      </c>
      <c r="X544" s="2" t="s">
        <v>59</v>
      </c>
      <c r="Y544" s="1">
        <v>524.98</v>
      </c>
      <c r="Z544" s="1">
        <v>524.98</v>
      </c>
      <c r="AA544" s="1">
        <v>0</v>
      </c>
      <c r="AB544" s="1">
        <v>26.25</v>
      </c>
      <c r="AC544" s="1">
        <v>0</v>
      </c>
      <c r="AD544" s="1">
        <v>67.694909999999993</v>
      </c>
      <c r="AE544" s="1">
        <v>551.23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9.1871500000000008</v>
      </c>
      <c r="AP544" s="1">
        <v>1.2862009999999999</v>
      </c>
      <c r="AQ544" s="1">
        <v>460.50877000000003</v>
      </c>
      <c r="AR544" s="1">
        <v>460.50877000000003</v>
      </c>
      <c r="AS544" s="1">
        <v>115.12719</v>
      </c>
      <c r="AT544" s="1">
        <v>16.117806600000002</v>
      </c>
      <c r="AU544" s="1">
        <v>30.99</v>
      </c>
      <c r="AV544" s="2" t="s">
        <v>60</v>
      </c>
      <c r="AW544" s="1">
        <v>352.27199999999999</v>
      </c>
      <c r="AX544" s="1">
        <f>Table1[[#This Row],[Original Commissionable GMV]]-Table1[[#This Row],[Commission ]]-Table1[[#This Row],[Commission VAT]]-Table1[[#This Row],[FreeDeliveryFund]]</f>
        <v>298.27377340000004</v>
      </c>
      <c r="AY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M544" s="2"/>
    </row>
    <row r="545" spans="12:65" x14ac:dyDescent="0.25">
      <c r="L545" s="2">
        <v>504016</v>
      </c>
      <c r="M545" s="2" t="s">
        <v>52</v>
      </c>
      <c r="N545" s="2">
        <v>505837</v>
      </c>
      <c r="O545" t="s">
        <v>63</v>
      </c>
      <c r="P545">
        <v>3407930230</v>
      </c>
      <c r="Q545" s="5">
        <v>46041.534479166665</v>
      </c>
      <c r="R545" s="2" t="s">
        <v>54</v>
      </c>
      <c r="S545" s="2" t="s">
        <v>51</v>
      </c>
      <c r="T545" s="2" t="s">
        <v>55</v>
      </c>
      <c r="U545" s="2" t="s">
        <v>59</v>
      </c>
      <c r="V545" s="2" t="s">
        <v>57</v>
      </c>
      <c r="W545" s="2" t="s">
        <v>58</v>
      </c>
      <c r="X545" s="2" t="s">
        <v>59</v>
      </c>
      <c r="Y545" s="1">
        <v>434.32</v>
      </c>
      <c r="Z545" s="1">
        <v>434.32</v>
      </c>
      <c r="AA545" s="1">
        <v>7</v>
      </c>
      <c r="AB545" s="1">
        <v>21.72</v>
      </c>
      <c r="AC545" s="1">
        <v>0</v>
      </c>
      <c r="AD545" s="1">
        <v>56.864559999999997</v>
      </c>
      <c r="AE545" s="1">
        <v>463.04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7.6006</v>
      </c>
      <c r="AP545" s="1">
        <v>1.064084</v>
      </c>
      <c r="AQ545" s="1">
        <v>380.98246</v>
      </c>
      <c r="AR545" s="1">
        <v>380.98246</v>
      </c>
      <c r="AS545" s="1">
        <v>95.245620000000002</v>
      </c>
      <c r="AT545" s="1">
        <v>13.334386800000001</v>
      </c>
      <c r="AU545" s="1">
        <v>27.99</v>
      </c>
      <c r="AV545" s="2" t="s">
        <v>60</v>
      </c>
      <c r="AW545" s="1">
        <v>289.08499999999998</v>
      </c>
      <c r="AX545" s="1">
        <f>Table1[[#This Row],[Original Commissionable GMV]]-Table1[[#This Row],[Commission ]]-Table1[[#This Row],[Commission VAT]]-Table1[[#This Row],[FreeDeliveryFund]]</f>
        <v>244.41245320000002</v>
      </c>
      <c r="AY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M545" s="2"/>
    </row>
    <row r="546" spans="12:65" x14ac:dyDescent="0.25">
      <c r="L546" s="2">
        <v>504016</v>
      </c>
      <c r="M546" s="2" t="s">
        <v>52</v>
      </c>
      <c r="N546" s="2">
        <v>505835</v>
      </c>
      <c r="O546" t="s">
        <v>65</v>
      </c>
      <c r="P546">
        <v>3408071793</v>
      </c>
      <c r="Q546" s="5">
        <v>46041.595902777779</v>
      </c>
      <c r="R546" s="2" t="s">
        <v>62</v>
      </c>
      <c r="S546" s="2" t="s">
        <v>51</v>
      </c>
      <c r="T546" s="2" t="s">
        <v>55</v>
      </c>
      <c r="U546" s="2" t="s">
        <v>59</v>
      </c>
      <c r="V546" s="2" t="s">
        <v>57</v>
      </c>
      <c r="W546" s="2" t="s">
        <v>58</v>
      </c>
      <c r="X546" s="2" t="s">
        <v>59</v>
      </c>
      <c r="Y546" s="1">
        <v>769.99</v>
      </c>
      <c r="Z546" s="1">
        <v>769.99</v>
      </c>
      <c r="AA546" s="1">
        <v>30.99</v>
      </c>
      <c r="AB546" s="1">
        <v>29.99</v>
      </c>
      <c r="AC546" s="1">
        <v>0</v>
      </c>
      <c r="AD546" s="1">
        <v>102.04895</v>
      </c>
      <c r="AE546" s="1">
        <v>830.97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675.42981999999995</v>
      </c>
      <c r="AR546" s="1">
        <v>675.42981999999995</v>
      </c>
      <c r="AS546" s="1">
        <v>168.85746</v>
      </c>
      <c r="AT546" s="1">
        <v>23.640044400000001</v>
      </c>
      <c r="AU546" s="1">
        <v>0</v>
      </c>
      <c r="AV546" s="2" t="s">
        <v>69</v>
      </c>
      <c r="AW546" s="1">
        <v>577.49199999999996</v>
      </c>
      <c r="AX546" s="1">
        <f>Table1[[#This Row],[Original Commissionable GMV]]-Table1[[#This Row],[Commission ]]-Table1[[#This Row],[Commission VAT]]-Table1[[#This Row],[FreeDeliveryFund]]</f>
        <v>482.93231559999992</v>
      </c>
      <c r="AY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M546" s="2"/>
    </row>
    <row r="547" spans="12:65" x14ac:dyDescent="0.25">
      <c r="L547" s="2">
        <v>504016</v>
      </c>
      <c r="M547" s="2" t="s">
        <v>52</v>
      </c>
      <c r="N547" s="2">
        <v>505835</v>
      </c>
      <c r="O547" t="s">
        <v>63</v>
      </c>
      <c r="P547">
        <v>3408088920</v>
      </c>
      <c r="Q547" s="5">
        <v>46041.603113425925</v>
      </c>
      <c r="R547" s="2" t="s">
        <v>54</v>
      </c>
      <c r="S547" s="2" t="s">
        <v>51</v>
      </c>
      <c r="T547" s="2" t="s">
        <v>55</v>
      </c>
      <c r="U547" s="2" t="s">
        <v>56</v>
      </c>
      <c r="V547" s="2" t="s">
        <v>57</v>
      </c>
      <c r="W547" s="2" t="s">
        <v>58</v>
      </c>
      <c r="X547" s="2" t="s">
        <v>59</v>
      </c>
      <c r="Y547" s="1">
        <v>789.65</v>
      </c>
      <c r="Z547" s="1">
        <v>789.65</v>
      </c>
      <c r="AA547" s="1">
        <v>0</v>
      </c>
      <c r="AB547" s="1">
        <v>29.99</v>
      </c>
      <c r="AC547" s="1">
        <v>0</v>
      </c>
      <c r="AD547" s="1">
        <v>100.65754</v>
      </c>
      <c r="AE547" s="1">
        <v>819.64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13.818875</v>
      </c>
      <c r="AP547" s="1">
        <v>1.9346425</v>
      </c>
      <c r="AQ547" s="1">
        <v>692.67543999999998</v>
      </c>
      <c r="AR547" s="1">
        <v>692.67543999999998</v>
      </c>
      <c r="AS547" s="1">
        <v>173.16886</v>
      </c>
      <c r="AT547" s="1">
        <v>24.2436404</v>
      </c>
      <c r="AU547" s="1">
        <v>26.99</v>
      </c>
      <c r="AV547" s="2" t="s">
        <v>60</v>
      </c>
      <c r="AW547" s="1">
        <v>549.49400000000003</v>
      </c>
      <c r="AX547" s="1">
        <f>Table1[[#This Row],[Original Commissionable GMV]]-Table1[[#This Row],[Commission ]]-Table1[[#This Row],[Commission VAT]]-Table1[[#This Row],[FreeDeliveryFund]]</f>
        <v>468.27293959999997</v>
      </c>
      <c r="AY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M547" s="2"/>
    </row>
    <row r="548" spans="12:65" x14ac:dyDescent="0.25">
      <c r="L548" s="2">
        <v>504016</v>
      </c>
      <c r="M548" s="2" t="s">
        <v>52</v>
      </c>
      <c r="N548" s="2">
        <v>505837</v>
      </c>
      <c r="O548" t="s">
        <v>53</v>
      </c>
      <c r="P548">
        <v>3408100149</v>
      </c>
      <c r="Q548" s="5">
        <v>46041.607881944445</v>
      </c>
      <c r="R548" s="2" t="s">
        <v>62</v>
      </c>
      <c r="S548" s="2" t="s">
        <v>51</v>
      </c>
      <c r="T548" s="2" t="s">
        <v>55</v>
      </c>
      <c r="U548" s="2" t="s">
        <v>56</v>
      </c>
      <c r="V548" s="2" t="s">
        <v>57</v>
      </c>
      <c r="W548" s="2" t="s">
        <v>58</v>
      </c>
      <c r="X548" s="2" t="s">
        <v>59</v>
      </c>
      <c r="Y548" s="1">
        <v>406.67</v>
      </c>
      <c r="Z548" s="1">
        <v>406.67</v>
      </c>
      <c r="AA548" s="1">
        <v>40.99</v>
      </c>
      <c r="AB548" s="1">
        <v>20.329999999999998</v>
      </c>
      <c r="AC548" s="1">
        <v>0</v>
      </c>
      <c r="AD548" s="1">
        <v>57.472459999999998</v>
      </c>
      <c r="AE548" s="1">
        <v>467.99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356.72807</v>
      </c>
      <c r="AR548" s="1">
        <v>356.72807</v>
      </c>
      <c r="AS548" s="1">
        <v>89.182019999999994</v>
      </c>
      <c r="AT548" s="1">
        <v>12.4854828</v>
      </c>
      <c r="AU548" s="1">
        <v>0</v>
      </c>
      <c r="AV548" s="2" t="s">
        <v>69</v>
      </c>
      <c r="AW548" s="1">
        <v>305.00200000000001</v>
      </c>
      <c r="AX548" s="1">
        <f>Table1[[#This Row],[Original Commissionable GMV]]-Table1[[#This Row],[Commission ]]-Table1[[#This Row],[Commission VAT]]-Table1[[#This Row],[FreeDeliveryFund]]</f>
        <v>255.06056720000004</v>
      </c>
      <c r="AY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M548" s="2"/>
    </row>
    <row r="549" spans="12:65" x14ac:dyDescent="0.25">
      <c r="L549" s="2">
        <v>504016</v>
      </c>
      <c r="M549" s="2" t="s">
        <v>52</v>
      </c>
      <c r="N549" s="2">
        <v>505839</v>
      </c>
      <c r="O549" t="s">
        <v>53</v>
      </c>
      <c r="P549">
        <v>3408111435</v>
      </c>
      <c r="Q549" s="5">
        <v>46041.612662037034</v>
      </c>
      <c r="R549" s="2" t="s">
        <v>54</v>
      </c>
      <c r="S549" s="2" t="s">
        <v>51</v>
      </c>
      <c r="T549" s="2" t="s">
        <v>55</v>
      </c>
      <c r="U549" s="2" t="s">
        <v>59</v>
      </c>
      <c r="V549" s="2" t="s">
        <v>57</v>
      </c>
      <c r="W549" s="2" t="s">
        <v>58</v>
      </c>
      <c r="X549" s="2" t="s">
        <v>59</v>
      </c>
      <c r="Y549" s="1">
        <v>306.98</v>
      </c>
      <c r="Z549" s="1">
        <v>306.98</v>
      </c>
      <c r="AA549" s="1">
        <v>39.99</v>
      </c>
      <c r="AB549" s="1">
        <v>15.35</v>
      </c>
      <c r="AC549" s="1">
        <v>0</v>
      </c>
      <c r="AD549" s="1">
        <v>44.495440000000002</v>
      </c>
      <c r="AE549" s="1">
        <v>362.32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117.6</v>
      </c>
      <c r="AM549" s="1">
        <v>0</v>
      </c>
      <c r="AN549" s="1">
        <v>0</v>
      </c>
      <c r="AO549" s="1">
        <v>5.3721500000000004</v>
      </c>
      <c r="AP549" s="1">
        <v>0.75210100000000002</v>
      </c>
      <c r="AQ549" s="1">
        <v>269.28070000000002</v>
      </c>
      <c r="AR549" s="1">
        <v>269.28070000000002</v>
      </c>
      <c r="AS549" s="1">
        <v>67.320179999999993</v>
      </c>
      <c r="AT549" s="1">
        <v>9.4248252000000008</v>
      </c>
      <c r="AU549" s="1">
        <v>0</v>
      </c>
      <c r="AV549" s="2" t="s">
        <v>69</v>
      </c>
      <c r="AW549" s="1">
        <v>224.11099999999999</v>
      </c>
      <c r="AX549" s="1">
        <f>Table1[[#This Row],[Original Commissionable GMV]]-Table1[[#This Row],[Commission ]]-Table1[[#This Row],[Commission VAT]]-Table1[[#This Row],[FreeDeliveryFund]]</f>
        <v>192.53569480000004</v>
      </c>
      <c r="AY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M549" s="2"/>
    </row>
    <row r="550" spans="12:65" x14ac:dyDescent="0.25">
      <c r="L550" s="2">
        <v>504016</v>
      </c>
      <c r="M550" s="2" t="s">
        <v>52</v>
      </c>
      <c r="N550" s="2">
        <v>505835</v>
      </c>
      <c r="O550" t="s">
        <v>65</v>
      </c>
      <c r="P550">
        <v>3408281279</v>
      </c>
      <c r="Q550" s="5">
        <v>46041.679155092592</v>
      </c>
      <c r="R550" s="2" t="s">
        <v>62</v>
      </c>
      <c r="S550" s="2" t="s">
        <v>51</v>
      </c>
      <c r="T550" s="2" t="s">
        <v>55</v>
      </c>
      <c r="U550" s="2" t="s">
        <v>59</v>
      </c>
      <c r="V550" s="2" t="s">
        <v>57</v>
      </c>
      <c r="W550" s="2" t="s">
        <v>58</v>
      </c>
      <c r="X550" s="2" t="s">
        <v>59</v>
      </c>
      <c r="Y550" s="1">
        <v>375.73</v>
      </c>
      <c r="Z550" s="1">
        <v>375.73</v>
      </c>
      <c r="AA550" s="1">
        <v>29.99</v>
      </c>
      <c r="AB550" s="1">
        <v>18.79</v>
      </c>
      <c r="AC550" s="1">
        <v>0</v>
      </c>
      <c r="AD550" s="1">
        <v>52.132809999999999</v>
      </c>
      <c r="AE550" s="1">
        <v>424.51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329.58771999999999</v>
      </c>
      <c r="AR550" s="1">
        <v>329.58771999999999</v>
      </c>
      <c r="AS550" s="1">
        <v>82.396929999999998</v>
      </c>
      <c r="AT550" s="1">
        <v>11.5355702</v>
      </c>
      <c r="AU550" s="1">
        <v>0</v>
      </c>
      <c r="AV550" s="2" t="s">
        <v>69</v>
      </c>
      <c r="AW550" s="1">
        <v>281.79700000000003</v>
      </c>
      <c r="AX550" s="1">
        <f>Table1[[#This Row],[Original Commissionable GMV]]-Table1[[#This Row],[Commission ]]-Table1[[#This Row],[Commission VAT]]-Table1[[#This Row],[FreeDeliveryFund]]</f>
        <v>235.6552198</v>
      </c>
      <c r="AY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M550" s="2"/>
    </row>
    <row r="551" spans="12:65" x14ac:dyDescent="0.25">
      <c r="L551" s="2">
        <v>504016</v>
      </c>
      <c r="M551" s="2" t="s">
        <v>52</v>
      </c>
      <c r="N551" s="2">
        <v>505839</v>
      </c>
      <c r="O551" t="s">
        <v>53</v>
      </c>
      <c r="P551">
        <v>3408432815</v>
      </c>
      <c r="Q551" s="5">
        <v>46041.729722222219</v>
      </c>
      <c r="R551" s="2" t="s">
        <v>62</v>
      </c>
      <c r="S551" s="2" t="s">
        <v>51</v>
      </c>
      <c r="T551" s="2" t="s">
        <v>55</v>
      </c>
      <c r="U551" s="2" t="s">
        <v>59</v>
      </c>
      <c r="V551" s="2" t="s">
        <v>57</v>
      </c>
      <c r="W551" s="2" t="s">
        <v>58</v>
      </c>
      <c r="X551" s="2" t="s">
        <v>59</v>
      </c>
      <c r="Y551" s="1">
        <v>1058.95</v>
      </c>
      <c r="Z551" s="1">
        <v>1058.95</v>
      </c>
      <c r="AA551" s="1">
        <v>9</v>
      </c>
      <c r="AB551" s="1">
        <v>29.99</v>
      </c>
      <c r="AC551" s="1">
        <v>0</v>
      </c>
      <c r="AD551" s="1">
        <v>134.83474000000001</v>
      </c>
      <c r="AE551" s="1">
        <v>1097.94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928.90350999999998</v>
      </c>
      <c r="AR551" s="1">
        <v>928.90350999999998</v>
      </c>
      <c r="AS551" s="1">
        <v>232.22587999999999</v>
      </c>
      <c r="AT551" s="1">
        <v>32.511623200000002</v>
      </c>
      <c r="AU551" s="1">
        <v>33.99</v>
      </c>
      <c r="AV551" s="2" t="s">
        <v>60</v>
      </c>
      <c r="AW551" s="1">
        <v>760.22199999999998</v>
      </c>
      <c r="AX551" s="1">
        <f>Table1[[#This Row],[Original Commissionable GMV]]-Table1[[#This Row],[Commission ]]-Table1[[#This Row],[Commission VAT]]-Table1[[#This Row],[FreeDeliveryFund]]</f>
        <v>630.17600679999998</v>
      </c>
      <c r="AY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M551" s="2"/>
    </row>
    <row r="552" spans="12:65" x14ac:dyDescent="0.25">
      <c r="L552" s="2">
        <v>504016</v>
      </c>
      <c r="M552" s="2" t="s">
        <v>52</v>
      </c>
      <c r="N552" s="2">
        <v>505839</v>
      </c>
      <c r="O552" t="s">
        <v>65</v>
      </c>
      <c r="P552">
        <v>3408444389</v>
      </c>
      <c r="Q552" s="5">
        <v>46041.733356481483</v>
      </c>
      <c r="R552" s="2" t="s">
        <v>54</v>
      </c>
      <c r="S552" s="2" t="s">
        <v>51</v>
      </c>
      <c r="T552" s="2" t="s">
        <v>55</v>
      </c>
      <c r="U552" s="2" t="s">
        <v>59</v>
      </c>
      <c r="V552" s="2" t="s">
        <v>57</v>
      </c>
      <c r="W552" s="2" t="s">
        <v>58</v>
      </c>
      <c r="X552" s="2" t="s">
        <v>59</v>
      </c>
      <c r="Y552" s="1">
        <v>352.99</v>
      </c>
      <c r="Z552" s="1">
        <v>352.99</v>
      </c>
      <c r="AA552" s="1">
        <v>0</v>
      </c>
      <c r="AB552" s="1">
        <v>17.649999999999999</v>
      </c>
      <c r="AC552" s="1">
        <v>0</v>
      </c>
      <c r="AD552" s="1">
        <v>45.517189999999999</v>
      </c>
      <c r="AE552" s="1">
        <v>370.64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6.1773249999999997</v>
      </c>
      <c r="AP552" s="1">
        <v>0.86482550000000002</v>
      </c>
      <c r="AQ552" s="1">
        <v>309.64035000000001</v>
      </c>
      <c r="AR552" s="1">
        <v>309.64035000000001</v>
      </c>
      <c r="AS552" s="1">
        <v>77.410089999999997</v>
      </c>
      <c r="AT552" s="1">
        <v>10.8374126</v>
      </c>
      <c r="AU552" s="1">
        <v>28.99</v>
      </c>
      <c r="AV552" s="2" t="s">
        <v>60</v>
      </c>
      <c r="AW552" s="1">
        <v>228.71</v>
      </c>
      <c r="AX552" s="1">
        <f>Table1[[#This Row],[Original Commissionable GMV]]-Table1[[#This Row],[Commission ]]-Table1[[#This Row],[Commission VAT]]-Table1[[#This Row],[FreeDeliveryFund]]</f>
        <v>192.40284740000001</v>
      </c>
      <c r="AY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M552" s="2"/>
    </row>
    <row r="553" spans="12:65" x14ac:dyDescent="0.25">
      <c r="L553" s="2">
        <v>504016</v>
      </c>
      <c r="M553" s="2" t="s">
        <v>52</v>
      </c>
      <c r="N553" s="2">
        <v>505837</v>
      </c>
      <c r="O553" t="s">
        <v>63</v>
      </c>
      <c r="P553">
        <v>3408448606</v>
      </c>
      <c r="Q553" s="5">
        <v>46041.734699074077</v>
      </c>
      <c r="R553" s="2" t="s">
        <v>62</v>
      </c>
      <c r="S553" s="2" t="s">
        <v>51</v>
      </c>
      <c r="T553" s="2" t="s">
        <v>55</v>
      </c>
      <c r="U553" s="2" t="s">
        <v>56</v>
      </c>
      <c r="V553" s="2" t="s">
        <v>57</v>
      </c>
      <c r="W553" s="2" t="s">
        <v>58</v>
      </c>
      <c r="X553" s="2" t="s">
        <v>59</v>
      </c>
      <c r="Y553" s="1">
        <v>515.51</v>
      </c>
      <c r="Z553" s="1">
        <v>515.51</v>
      </c>
      <c r="AA553" s="1">
        <v>29.99</v>
      </c>
      <c r="AB553" s="1">
        <v>25.78</v>
      </c>
      <c r="AC553" s="1">
        <v>0</v>
      </c>
      <c r="AD553" s="1">
        <v>70.15719</v>
      </c>
      <c r="AE553" s="1">
        <v>571.28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452.20175</v>
      </c>
      <c r="AR553" s="1">
        <v>452.20175</v>
      </c>
      <c r="AS553" s="1">
        <v>113.05043999999999</v>
      </c>
      <c r="AT553" s="1">
        <v>15.8270616</v>
      </c>
      <c r="AU553" s="1">
        <v>0</v>
      </c>
      <c r="AV553" s="2" t="s">
        <v>69</v>
      </c>
      <c r="AW553" s="1">
        <v>386.63200000000001</v>
      </c>
      <c r="AX553" s="1">
        <f>Table1[[#This Row],[Original Commissionable GMV]]-Table1[[#This Row],[Commission ]]-Table1[[#This Row],[Commission VAT]]-Table1[[#This Row],[FreeDeliveryFund]]</f>
        <v>323.32424840000004</v>
      </c>
      <c r="AY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M553" s="2"/>
    </row>
    <row r="554" spans="12:65" x14ac:dyDescent="0.25">
      <c r="L554" s="2">
        <v>504016</v>
      </c>
      <c r="M554" s="2" t="s">
        <v>52</v>
      </c>
      <c r="N554" s="2">
        <v>505837</v>
      </c>
      <c r="O554" t="s">
        <v>63</v>
      </c>
      <c r="P554">
        <v>3408484369</v>
      </c>
      <c r="Q554" s="5">
        <v>46041.745787037034</v>
      </c>
      <c r="R554" s="2" t="s">
        <v>54</v>
      </c>
      <c r="S554" s="2" t="s">
        <v>51</v>
      </c>
      <c r="T554" s="2" t="s">
        <v>55</v>
      </c>
      <c r="U554" s="2" t="s">
        <v>56</v>
      </c>
      <c r="V554" s="2" t="s">
        <v>57</v>
      </c>
      <c r="W554" s="2" t="s">
        <v>58</v>
      </c>
      <c r="X554" s="2" t="s">
        <v>59</v>
      </c>
      <c r="Y554" s="1">
        <v>266.99</v>
      </c>
      <c r="Z554" s="1">
        <v>266.99</v>
      </c>
      <c r="AA554" s="1">
        <v>27.99</v>
      </c>
      <c r="AB554" s="1">
        <v>13.35</v>
      </c>
      <c r="AC554" s="1">
        <v>0</v>
      </c>
      <c r="AD554" s="1">
        <v>37.865090000000002</v>
      </c>
      <c r="AE554" s="1">
        <v>308.33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4.6723249999999998</v>
      </c>
      <c r="AP554" s="1">
        <v>0.65412550000000003</v>
      </c>
      <c r="AQ554" s="1">
        <v>234.20175</v>
      </c>
      <c r="AR554" s="1">
        <v>234.20175</v>
      </c>
      <c r="AS554" s="1">
        <v>58.550440000000002</v>
      </c>
      <c r="AT554" s="1">
        <v>8.1970615999999996</v>
      </c>
      <c r="AU554" s="1">
        <v>0</v>
      </c>
      <c r="AV554" s="2" t="s">
        <v>69</v>
      </c>
      <c r="AW554" s="1">
        <v>194.916</v>
      </c>
      <c r="AX554" s="1">
        <f>Table1[[#This Row],[Original Commissionable GMV]]-Table1[[#This Row],[Commission ]]-Table1[[#This Row],[Commission VAT]]-Table1[[#This Row],[FreeDeliveryFund]]</f>
        <v>167.45424839999998</v>
      </c>
      <c r="AY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M554" s="2"/>
    </row>
    <row r="555" spans="12:65" x14ac:dyDescent="0.25">
      <c r="L555" s="2">
        <v>504016</v>
      </c>
      <c r="M555" s="2" t="s">
        <v>52</v>
      </c>
      <c r="N555" s="2">
        <v>505839</v>
      </c>
      <c r="O555" t="s">
        <v>53</v>
      </c>
      <c r="P555">
        <v>3408492605</v>
      </c>
      <c r="Q555" s="5">
        <v>46041.748344907406</v>
      </c>
      <c r="R555" s="2" t="s">
        <v>54</v>
      </c>
      <c r="S555" s="2" t="s">
        <v>51</v>
      </c>
      <c r="T555" s="2" t="s">
        <v>55</v>
      </c>
      <c r="U555" s="2" t="s">
        <v>56</v>
      </c>
      <c r="V555" s="2" t="s">
        <v>57</v>
      </c>
      <c r="W555" s="2" t="s">
        <v>58</v>
      </c>
      <c r="X555" s="2" t="s">
        <v>59</v>
      </c>
      <c r="Y555" s="1">
        <v>1150.83</v>
      </c>
      <c r="Z555" s="1">
        <v>1150.83</v>
      </c>
      <c r="AA555" s="1">
        <v>9</v>
      </c>
      <c r="AB555" s="1">
        <v>29.99</v>
      </c>
      <c r="AC555" s="1">
        <v>0</v>
      </c>
      <c r="AD555" s="1">
        <v>146.11824999999999</v>
      </c>
      <c r="AE555" s="1">
        <v>1189.82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20.13952325</v>
      </c>
      <c r="AP555" s="1">
        <v>2.8195332550000001</v>
      </c>
      <c r="AQ555" s="1">
        <v>1009.5</v>
      </c>
      <c r="AR555" s="1">
        <v>1009.5</v>
      </c>
      <c r="AS555" s="1">
        <v>252.375</v>
      </c>
      <c r="AT555" s="1">
        <v>35.332500000000003</v>
      </c>
      <c r="AU555" s="1">
        <v>30.99</v>
      </c>
      <c r="AV555" s="2" t="s">
        <v>60</v>
      </c>
      <c r="AW555" s="1">
        <v>809.173</v>
      </c>
      <c r="AX555" s="1">
        <f>Table1[[#This Row],[Original Commissionable GMV]]-Table1[[#This Row],[Commission ]]-Table1[[#This Row],[Commission VAT]]-Table1[[#This Row],[FreeDeliveryFund]]</f>
        <v>690.80250000000001</v>
      </c>
      <c r="AY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M555" s="2"/>
    </row>
    <row r="556" spans="12:65" x14ac:dyDescent="0.25">
      <c r="L556" s="2">
        <v>504016</v>
      </c>
      <c r="M556" s="2" t="s">
        <v>52</v>
      </c>
      <c r="N556" s="2">
        <v>505837</v>
      </c>
      <c r="O556" t="s">
        <v>63</v>
      </c>
      <c r="P556">
        <v>3408601630</v>
      </c>
      <c r="Q556" s="5">
        <v>46041.780810185184</v>
      </c>
      <c r="R556" s="2" t="s">
        <v>54</v>
      </c>
      <c r="S556" s="2" t="s">
        <v>51</v>
      </c>
      <c r="T556" s="2" t="s">
        <v>55</v>
      </c>
      <c r="U556" s="2" t="s">
        <v>56</v>
      </c>
      <c r="V556" s="2" t="s">
        <v>57</v>
      </c>
      <c r="W556" s="2" t="s">
        <v>58</v>
      </c>
      <c r="X556" s="2" t="s">
        <v>59</v>
      </c>
      <c r="Y556" s="1">
        <v>751.34</v>
      </c>
      <c r="Z556" s="1">
        <v>751.34</v>
      </c>
      <c r="AA556" s="1">
        <v>0</v>
      </c>
      <c r="AB556" s="1">
        <v>29.99</v>
      </c>
      <c r="AC556" s="1">
        <v>0</v>
      </c>
      <c r="AD556" s="1">
        <v>95.952809999999999</v>
      </c>
      <c r="AE556" s="1">
        <v>781.33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30</v>
      </c>
      <c r="AN556" s="1">
        <v>4.2</v>
      </c>
      <c r="AO556" s="1">
        <v>13.14845</v>
      </c>
      <c r="AP556" s="1">
        <v>1.8407830000000001</v>
      </c>
      <c r="AQ556" s="1">
        <v>659.07018000000005</v>
      </c>
      <c r="AR556" s="1">
        <v>659.07018000000005</v>
      </c>
      <c r="AS556" s="1">
        <v>164.76755</v>
      </c>
      <c r="AT556" s="1">
        <v>23.067457000000001</v>
      </c>
      <c r="AU556" s="1">
        <v>29.99</v>
      </c>
      <c r="AV556" s="2" t="s">
        <v>60</v>
      </c>
      <c r="AW556" s="1">
        <v>484.32600000000002</v>
      </c>
      <c r="AX556" s="1">
        <f>Table1[[#This Row],[Original Commissionable GMV]]-Table1[[#This Row],[Commission ]]-Table1[[#This Row],[Commission VAT]]-Table1[[#This Row],[FreeDeliveryFund]]</f>
        <v>441.24517300000002</v>
      </c>
      <c r="AY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M556" s="2"/>
    </row>
    <row r="557" spans="12:65" x14ac:dyDescent="0.25">
      <c r="L557" s="2">
        <v>504016</v>
      </c>
      <c r="M557" s="2" t="s">
        <v>52</v>
      </c>
      <c r="N557" s="2">
        <v>505839</v>
      </c>
      <c r="O557" t="s">
        <v>53</v>
      </c>
      <c r="P557">
        <v>3408618035</v>
      </c>
      <c r="Q557" s="5">
        <v>46041.785729166666</v>
      </c>
      <c r="R557" s="2" t="s">
        <v>54</v>
      </c>
      <c r="S557" s="2" t="s">
        <v>51</v>
      </c>
      <c r="T557" s="2" t="s">
        <v>55</v>
      </c>
      <c r="U557" s="2" t="s">
        <v>56</v>
      </c>
      <c r="V557" s="2" t="s">
        <v>57</v>
      </c>
      <c r="W557" s="2" t="s">
        <v>58</v>
      </c>
      <c r="X557" s="2" t="s">
        <v>59</v>
      </c>
      <c r="Y557" s="1">
        <v>1462.3</v>
      </c>
      <c r="Z557" s="1">
        <v>1462.3</v>
      </c>
      <c r="AA557" s="1">
        <v>0</v>
      </c>
      <c r="AB557" s="1">
        <v>29.99</v>
      </c>
      <c r="AC557" s="1">
        <v>0</v>
      </c>
      <c r="AD557" s="1">
        <v>183.26367999999999</v>
      </c>
      <c r="AE557" s="1">
        <v>1492.29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25.590250000000001</v>
      </c>
      <c r="AP557" s="1">
        <v>3.5826349999999998</v>
      </c>
      <c r="AQ557" s="1">
        <v>1282.7193</v>
      </c>
      <c r="AR557" s="1">
        <v>1282.7193</v>
      </c>
      <c r="AS557" s="1">
        <v>320.67982999999998</v>
      </c>
      <c r="AT557" s="1">
        <v>44.895176200000002</v>
      </c>
      <c r="AU557" s="1">
        <v>31.99</v>
      </c>
      <c r="AV557" s="2" t="s">
        <v>60</v>
      </c>
      <c r="AW557" s="1">
        <v>1035.5619999999999</v>
      </c>
      <c r="AX557" s="1">
        <f>Table1[[#This Row],[Original Commissionable GMV]]-Table1[[#This Row],[Commission ]]-Table1[[#This Row],[Commission VAT]]-Table1[[#This Row],[FreeDeliveryFund]]</f>
        <v>885.15429379999989</v>
      </c>
      <c r="AY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M557" s="2"/>
    </row>
    <row r="558" spans="12:65" x14ac:dyDescent="0.25">
      <c r="L558" s="2">
        <v>504016</v>
      </c>
      <c r="M558" s="2" t="s">
        <v>52</v>
      </c>
      <c r="N558" s="2">
        <v>505835</v>
      </c>
      <c r="O558" t="s">
        <v>53</v>
      </c>
      <c r="P558">
        <v>3408630250</v>
      </c>
      <c r="Q558" s="5">
        <v>46041.789421296293</v>
      </c>
      <c r="R558" s="2" t="s">
        <v>54</v>
      </c>
      <c r="S558" s="2" t="s">
        <v>51</v>
      </c>
      <c r="T558" s="2" t="s">
        <v>55</v>
      </c>
      <c r="U558" s="2" t="s">
        <v>56</v>
      </c>
      <c r="V558" s="2" t="s">
        <v>57</v>
      </c>
      <c r="W558" s="2" t="s">
        <v>58</v>
      </c>
      <c r="X558" s="2" t="s">
        <v>59</v>
      </c>
      <c r="Y558" s="1">
        <v>1182.29</v>
      </c>
      <c r="Z558" s="1">
        <v>1277.99</v>
      </c>
      <c r="AA558" s="1">
        <v>0</v>
      </c>
      <c r="AB558" s="1">
        <v>29.99</v>
      </c>
      <c r="AC558" s="1">
        <v>0</v>
      </c>
      <c r="AD558" s="1">
        <v>160.62912</v>
      </c>
      <c r="AE558" s="1">
        <v>1212.28</v>
      </c>
      <c r="AG558" s="1">
        <v>0</v>
      </c>
      <c r="AH558" s="1">
        <v>95.7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20.690075</v>
      </c>
      <c r="AP558" s="1">
        <v>2.8966105</v>
      </c>
      <c r="AQ558" s="1">
        <v>1037.0964899999999</v>
      </c>
      <c r="AR558" s="1">
        <v>1037.0964899999999</v>
      </c>
      <c r="AS558" s="1">
        <v>259.27411999999998</v>
      </c>
      <c r="AT558" s="1">
        <v>36.2983768</v>
      </c>
      <c r="AU558" s="1">
        <v>33.99</v>
      </c>
      <c r="AV558" s="2" t="s">
        <v>60</v>
      </c>
      <c r="AW558" s="1">
        <v>829.14099999999996</v>
      </c>
      <c r="AX558" s="1">
        <f>Table1[[#This Row],[Original Commissionable GMV]]-Table1[[#This Row],[Commission ]]-Table1[[#This Row],[Commission VAT]]-Table1[[#This Row],[FreeDeliveryFund]]</f>
        <v>707.53399319999983</v>
      </c>
      <c r="AY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M558" s="2"/>
    </row>
    <row r="559" spans="12:65" x14ac:dyDescent="0.25">
      <c r="L559" s="2">
        <v>504016</v>
      </c>
      <c r="M559" s="2" t="s">
        <v>52</v>
      </c>
      <c r="N559" s="2">
        <v>505835</v>
      </c>
      <c r="O559" t="s">
        <v>53</v>
      </c>
      <c r="P559">
        <v>3408633992</v>
      </c>
      <c r="Q559" s="5">
        <v>46041.790520833332</v>
      </c>
      <c r="R559" s="2" t="s">
        <v>62</v>
      </c>
      <c r="S559" s="2" t="s">
        <v>51</v>
      </c>
      <c r="T559" s="2" t="s">
        <v>55</v>
      </c>
      <c r="U559" s="2" t="s">
        <v>59</v>
      </c>
      <c r="V559" s="2" t="s">
        <v>57</v>
      </c>
      <c r="W559" s="2" t="s">
        <v>58</v>
      </c>
      <c r="X559" s="2" t="s">
        <v>59</v>
      </c>
      <c r="Y559" s="1">
        <v>683.98</v>
      </c>
      <c r="Z559" s="1">
        <v>683.98</v>
      </c>
      <c r="AA559" s="1">
        <v>0</v>
      </c>
      <c r="AB559" s="1">
        <v>29.99</v>
      </c>
      <c r="AC559" s="1">
        <v>0</v>
      </c>
      <c r="AD559" s="1">
        <v>87.680530000000005</v>
      </c>
      <c r="AE559" s="1">
        <v>713.97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599.98245999999995</v>
      </c>
      <c r="AR559" s="1">
        <v>599.98245999999995</v>
      </c>
      <c r="AS559" s="1">
        <v>149.99562</v>
      </c>
      <c r="AT559" s="1">
        <v>20.9993868</v>
      </c>
      <c r="AU559" s="1">
        <v>31.99</v>
      </c>
      <c r="AV559" s="2" t="s">
        <v>60</v>
      </c>
      <c r="AW559" s="1">
        <v>480.995</v>
      </c>
      <c r="AX559" s="1">
        <f>Table1[[#This Row],[Original Commissionable GMV]]-Table1[[#This Row],[Commission ]]-Table1[[#This Row],[Commission VAT]]-Table1[[#This Row],[FreeDeliveryFund]]</f>
        <v>396.99745319999988</v>
      </c>
      <c r="AY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M559" s="2"/>
    </row>
    <row r="560" spans="12:65" x14ac:dyDescent="0.25">
      <c r="L560" s="2">
        <v>504016</v>
      </c>
      <c r="M560" s="2" t="s">
        <v>52</v>
      </c>
      <c r="N560" s="2">
        <v>505837</v>
      </c>
      <c r="O560" t="s">
        <v>63</v>
      </c>
      <c r="P560">
        <v>3408666147</v>
      </c>
      <c r="Q560" s="5">
        <v>46041.80027777778</v>
      </c>
      <c r="R560" s="2" t="s">
        <v>62</v>
      </c>
      <c r="S560" s="2" t="s">
        <v>51</v>
      </c>
      <c r="T560" s="2" t="s">
        <v>55</v>
      </c>
      <c r="U560" s="2" t="s">
        <v>59</v>
      </c>
      <c r="V560" s="2" t="s">
        <v>57</v>
      </c>
      <c r="W560" s="2" t="s">
        <v>58</v>
      </c>
      <c r="X560" s="2" t="s">
        <v>59</v>
      </c>
      <c r="Y560" s="1">
        <v>712.98</v>
      </c>
      <c r="Z560" s="1">
        <v>712.98</v>
      </c>
      <c r="AA560" s="1">
        <v>0</v>
      </c>
      <c r="AB560" s="1">
        <v>29.99</v>
      </c>
      <c r="AC560" s="1">
        <v>0</v>
      </c>
      <c r="AD560" s="1">
        <v>91.241929999999996</v>
      </c>
      <c r="AE560" s="1">
        <v>742.97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625.42105000000004</v>
      </c>
      <c r="AR560" s="1">
        <v>625.42105000000004</v>
      </c>
      <c r="AS560" s="1">
        <v>156.35525999999999</v>
      </c>
      <c r="AT560" s="1">
        <v>21.8897364</v>
      </c>
      <c r="AU560" s="1">
        <v>29.99</v>
      </c>
      <c r="AV560" s="2" t="s">
        <v>60</v>
      </c>
      <c r="AW560" s="1">
        <v>504.745</v>
      </c>
      <c r="AX560" s="1">
        <f>Table1[[#This Row],[Original Commissionable GMV]]-Table1[[#This Row],[Commission ]]-Table1[[#This Row],[Commission VAT]]-Table1[[#This Row],[FreeDeliveryFund]]</f>
        <v>417.18605360000004</v>
      </c>
      <c r="AY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M560" s="2"/>
    </row>
    <row r="561" spans="12:65" x14ac:dyDescent="0.25">
      <c r="L561" s="2">
        <v>504016</v>
      </c>
      <c r="M561" s="2" t="s">
        <v>52</v>
      </c>
      <c r="N561" s="2">
        <v>505839</v>
      </c>
      <c r="O561" t="s">
        <v>53</v>
      </c>
      <c r="P561">
        <v>3408691067</v>
      </c>
      <c r="Q561" s="5">
        <v>46041.807986111111</v>
      </c>
      <c r="R561" s="2" t="s">
        <v>54</v>
      </c>
      <c r="S561" s="2" t="s">
        <v>51</v>
      </c>
      <c r="T561" s="2" t="s">
        <v>55</v>
      </c>
      <c r="U561" s="2" t="s">
        <v>56</v>
      </c>
      <c r="V561" s="2" t="s">
        <v>57</v>
      </c>
      <c r="W561" s="2" t="s">
        <v>58</v>
      </c>
      <c r="X561" s="2" t="s">
        <v>59</v>
      </c>
      <c r="Y561" s="1">
        <v>429.99</v>
      </c>
      <c r="Z561" s="1">
        <v>429.99</v>
      </c>
      <c r="AA561" s="1">
        <v>0</v>
      </c>
      <c r="AB561" s="1">
        <v>21.5</v>
      </c>
      <c r="AC561" s="1">
        <v>0</v>
      </c>
      <c r="AD561" s="1">
        <v>55.44614</v>
      </c>
      <c r="AE561" s="1">
        <v>451.49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7.5248249999999999</v>
      </c>
      <c r="AP561" s="1">
        <v>1.0534755</v>
      </c>
      <c r="AQ561" s="1">
        <v>377.18421000000001</v>
      </c>
      <c r="AR561" s="1">
        <v>377.18421000000001</v>
      </c>
      <c r="AS561" s="1">
        <v>94.296049999999994</v>
      </c>
      <c r="AT561" s="1">
        <v>13.201447</v>
      </c>
      <c r="AU561" s="1">
        <v>33.99</v>
      </c>
      <c r="AV561" s="2" t="s">
        <v>60</v>
      </c>
      <c r="AW561" s="1">
        <v>279.92399999999998</v>
      </c>
      <c r="AX561" s="1">
        <f>Table1[[#This Row],[Original Commissionable GMV]]-Table1[[#This Row],[Commission ]]-Table1[[#This Row],[Commission VAT]]-Table1[[#This Row],[FreeDeliveryFund]]</f>
        <v>235.69671300000005</v>
      </c>
      <c r="AY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M561" s="2"/>
    </row>
    <row r="562" spans="12:65" x14ac:dyDescent="0.25">
      <c r="L562" s="2">
        <v>504016</v>
      </c>
      <c r="M562" s="2" t="s">
        <v>52</v>
      </c>
      <c r="N562" s="2">
        <v>505839</v>
      </c>
      <c r="O562" t="s">
        <v>53</v>
      </c>
      <c r="P562">
        <v>3408778159</v>
      </c>
      <c r="Q562" s="5">
        <v>46041.835729166669</v>
      </c>
      <c r="R562" s="2" t="s">
        <v>54</v>
      </c>
      <c r="S562" s="2" t="s">
        <v>51</v>
      </c>
      <c r="T562" s="2" t="s">
        <v>55</v>
      </c>
      <c r="U562" s="2" t="s">
        <v>59</v>
      </c>
      <c r="V562" s="2" t="s">
        <v>57</v>
      </c>
      <c r="W562" s="2" t="s">
        <v>58</v>
      </c>
      <c r="X562" s="2" t="s">
        <v>59</v>
      </c>
      <c r="Y562" s="1">
        <v>1349.96</v>
      </c>
      <c r="Z562" s="1">
        <v>1349.96</v>
      </c>
      <c r="AA562" s="1">
        <v>0</v>
      </c>
      <c r="AB562" s="1">
        <v>29.99</v>
      </c>
      <c r="AC562" s="1">
        <v>0</v>
      </c>
      <c r="AD562" s="1">
        <v>169.46754000000001</v>
      </c>
      <c r="AE562" s="1">
        <v>1379.95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23.624300000000002</v>
      </c>
      <c r="AP562" s="1">
        <v>3.3074020000000002</v>
      </c>
      <c r="AQ562" s="1">
        <v>1184.17544</v>
      </c>
      <c r="AR562" s="1">
        <v>1184.17544</v>
      </c>
      <c r="AS562" s="1">
        <v>296.04386</v>
      </c>
      <c r="AT562" s="1">
        <v>41.446140399999997</v>
      </c>
      <c r="AU562" s="1">
        <v>33.99</v>
      </c>
      <c r="AV562" s="2" t="s">
        <v>60</v>
      </c>
      <c r="AW562" s="1">
        <v>951.548</v>
      </c>
      <c r="AX562" s="1">
        <f>Table1[[#This Row],[Original Commissionable GMV]]-Table1[[#This Row],[Commission ]]-Table1[[#This Row],[Commission VAT]]-Table1[[#This Row],[FreeDeliveryFund]]</f>
        <v>812.69543959999999</v>
      </c>
      <c r="AY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M562" s="2"/>
    </row>
    <row r="563" spans="12:65" x14ac:dyDescent="0.25">
      <c r="L563" s="2">
        <v>504016</v>
      </c>
      <c r="M563" s="2" t="s">
        <v>52</v>
      </c>
      <c r="N563" s="2">
        <v>505839</v>
      </c>
      <c r="O563" t="s">
        <v>53</v>
      </c>
      <c r="P563">
        <v>3408798877</v>
      </c>
      <c r="Q563" s="5">
        <v>46041.842673611114</v>
      </c>
      <c r="R563" s="2" t="s">
        <v>54</v>
      </c>
      <c r="S563" s="2" t="s">
        <v>51</v>
      </c>
      <c r="T563" s="2" t="s">
        <v>55</v>
      </c>
      <c r="U563" s="2" t="s">
        <v>59</v>
      </c>
      <c r="V563" s="2" t="s">
        <v>57</v>
      </c>
      <c r="W563" s="2" t="s">
        <v>58</v>
      </c>
      <c r="X563" s="2" t="s">
        <v>59</v>
      </c>
      <c r="Y563" s="1">
        <v>353.99</v>
      </c>
      <c r="Z563" s="1">
        <v>353.99</v>
      </c>
      <c r="AA563" s="1">
        <v>31.99</v>
      </c>
      <c r="AB563" s="1">
        <v>17.7</v>
      </c>
      <c r="AC563" s="1">
        <v>0</v>
      </c>
      <c r="AD563" s="1">
        <v>49.574739999999998</v>
      </c>
      <c r="AE563" s="1">
        <v>403.68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6.1948249999999998</v>
      </c>
      <c r="AP563" s="1">
        <v>0.86727549999999998</v>
      </c>
      <c r="AQ563" s="1">
        <v>310.51754</v>
      </c>
      <c r="AR563" s="1">
        <v>310.51754</v>
      </c>
      <c r="AS563" s="1">
        <v>77.629390000000001</v>
      </c>
      <c r="AT563" s="1">
        <v>10.8681146</v>
      </c>
      <c r="AU563" s="1">
        <v>0</v>
      </c>
      <c r="AV563" s="2" t="s">
        <v>69</v>
      </c>
      <c r="AW563" s="1">
        <v>258.43</v>
      </c>
      <c r="AX563" s="1">
        <f>Table1[[#This Row],[Original Commissionable GMV]]-Table1[[#This Row],[Commission ]]-Table1[[#This Row],[Commission VAT]]-Table1[[#This Row],[FreeDeliveryFund]]</f>
        <v>222.02003539999998</v>
      </c>
      <c r="AY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M563" s="2"/>
    </row>
    <row r="564" spans="12:65" x14ac:dyDescent="0.25">
      <c r="L564" s="2">
        <v>504016</v>
      </c>
      <c r="M564" s="2" t="s">
        <v>52</v>
      </c>
      <c r="N564" s="2">
        <v>505839</v>
      </c>
      <c r="O564" t="s">
        <v>53</v>
      </c>
      <c r="P564">
        <v>3408808346</v>
      </c>
      <c r="Q564" s="5">
        <v>46041.845775462964</v>
      </c>
      <c r="R564" s="2" t="s">
        <v>54</v>
      </c>
      <c r="S564" s="2" t="s">
        <v>51</v>
      </c>
      <c r="T564" s="2" t="s">
        <v>55</v>
      </c>
      <c r="U564" s="2" t="s">
        <v>56</v>
      </c>
      <c r="V564" s="2" t="s">
        <v>57</v>
      </c>
      <c r="W564" s="2" t="s">
        <v>58</v>
      </c>
      <c r="X564" s="2" t="s">
        <v>59</v>
      </c>
      <c r="Y564" s="1">
        <v>369.67</v>
      </c>
      <c r="Z564" s="1">
        <v>369.67</v>
      </c>
      <c r="AA564" s="1">
        <v>9</v>
      </c>
      <c r="AB564" s="1">
        <v>18.48</v>
      </c>
      <c r="AC564" s="1">
        <v>0</v>
      </c>
      <c r="AD564" s="1">
        <v>48.77281</v>
      </c>
      <c r="AE564" s="1">
        <v>397.15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6.4692249999999998</v>
      </c>
      <c r="AP564" s="1">
        <v>0.90569149999999998</v>
      </c>
      <c r="AQ564" s="1">
        <v>324.27193</v>
      </c>
      <c r="AR564" s="1">
        <v>324.27193</v>
      </c>
      <c r="AS564" s="1">
        <v>81.067980000000006</v>
      </c>
      <c r="AT564" s="1">
        <v>11.349517199999999</v>
      </c>
      <c r="AU564" s="1">
        <v>33.99</v>
      </c>
      <c r="AV564" s="2" t="s">
        <v>60</v>
      </c>
      <c r="AW564" s="1">
        <v>235.88800000000001</v>
      </c>
      <c r="AX564" s="1">
        <f>Table1[[#This Row],[Original Commissionable GMV]]-Table1[[#This Row],[Commission ]]-Table1[[#This Row],[Commission VAT]]-Table1[[#This Row],[FreeDeliveryFund]]</f>
        <v>197.86443279999997</v>
      </c>
      <c r="AY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M564" s="2"/>
    </row>
    <row r="565" spans="12:65" x14ac:dyDescent="0.25">
      <c r="L565" s="2">
        <v>504016</v>
      </c>
      <c r="M565" s="2" t="s">
        <v>52</v>
      </c>
      <c r="N565" s="2">
        <v>505839</v>
      </c>
      <c r="O565" t="s">
        <v>53</v>
      </c>
      <c r="P565">
        <v>3408845207</v>
      </c>
      <c r="Q565" s="5">
        <v>46041.858587962961</v>
      </c>
      <c r="R565" s="2" t="s">
        <v>62</v>
      </c>
      <c r="S565" s="2" t="s">
        <v>51</v>
      </c>
      <c r="T565" s="2" t="s">
        <v>55</v>
      </c>
      <c r="U565" s="2" t="s">
        <v>59</v>
      </c>
      <c r="V565" s="2" t="s">
        <v>57</v>
      </c>
      <c r="W565" s="2" t="s">
        <v>58</v>
      </c>
      <c r="X565" s="2" t="s">
        <v>59</v>
      </c>
      <c r="Y565" s="1">
        <v>339.66</v>
      </c>
      <c r="Z565" s="1">
        <v>339.66</v>
      </c>
      <c r="AA565" s="1">
        <v>0</v>
      </c>
      <c r="AB565" s="1">
        <v>16.98</v>
      </c>
      <c r="AC565" s="1">
        <v>0</v>
      </c>
      <c r="AD565" s="1">
        <v>43.797890000000002</v>
      </c>
      <c r="AE565" s="1">
        <v>356.64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297.94736999999998</v>
      </c>
      <c r="AR565" s="1">
        <v>297.94736999999998</v>
      </c>
      <c r="AS565" s="1">
        <v>74.486840000000001</v>
      </c>
      <c r="AT565" s="1">
        <v>10.4281576</v>
      </c>
      <c r="AU565" s="1">
        <v>34.99</v>
      </c>
      <c r="AV565" s="2" t="s">
        <v>60</v>
      </c>
      <c r="AW565" s="1">
        <v>219.755</v>
      </c>
      <c r="AX565" s="1">
        <f>Table1[[#This Row],[Original Commissionable GMV]]-Table1[[#This Row],[Commission ]]-Table1[[#This Row],[Commission VAT]]-Table1[[#This Row],[FreeDeliveryFund]]</f>
        <v>178.04237239999998</v>
      </c>
      <c r="AY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M565" s="2"/>
    </row>
    <row r="566" spans="12:65" x14ac:dyDescent="0.25">
      <c r="L566" s="2">
        <v>504016</v>
      </c>
      <c r="M566" s="2" t="s">
        <v>52</v>
      </c>
      <c r="N566" s="2">
        <v>505839</v>
      </c>
      <c r="O566" t="s">
        <v>53</v>
      </c>
      <c r="P566">
        <v>3408856270</v>
      </c>
      <c r="Q566" s="5">
        <v>46041.862523148149</v>
      </c>
      <c r="R566" s="2" t="s">
        <v>54</v>
      </c>
      <c r="S566" s="2" t="s">
        <v>51</v>
      </c>
      <c r="T566" s="2" t="s">
        <v>55</v>
      </c>
      <c r="U566" s="2" t="s">
        <v>59</v>
      </c>
      <c r="V566" s="2" t="s">
        <v>57</v>
      </c>
      <c r="W566" s="2" t="s">
        <v>58</v>
      </c>
      <c r="X566" s="2" t="s">
        <v>59</v>
      </c>
      <c r="Y566" s="1">
        <v>294.99</v>
      </c>
      <c r="Z566" s="1">
        <v>294.99</v>
      </c>
      <c r="AA566" s="1">
        <v>0</v>
      </c>
      <c r="AB566" s="1">
        <v>14.75</v>
      </c>
      <c r="AC566" s="1">
        <v>0</v>
      </c>
      <c r="AD566" s="1">
        <v>38.038249999999998</v>
      </c>
      <c r="AE566" s="1">
        <v>309.74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5.1623250000000001</v>
      </c>
      <c r="AP566" s="1">
        <v>0.72272550000000002</v>
      </c>
      <c r="AQ566" s="1">
        <v>258.76316000000003</v>
      </c>
      <c r="AR566" s="1">
        <v>258.76316000000003</v>
      </c>
      <c r="AS566" s="1">
        <v>64.690790000000007</v>
      </c>
      <c r="AT566" s="1">
        <v>9.0567106000000006</v>
      </c>
      <c r="AU566" s="1">
        <v>32.99</v>
      </c>
      <c r="AV566" s="2" t="s">
        <v>60</v>
      </c>
      <c r="AW566" s="1">
        <v>182.36699999999999</v>
      </c>
      <c r="AX566" s="1">
        <f>Table1[[#This Row],[Original Commissionable GMV]]-Table1[[#This Row],[Commission ]]-Table1[[#This Row],[Commission VAT]]-Table1[[#This Row],[FreeDeliveryFund]]</f>
        <v>152.02565940000002</v>
      </c>
      <c r="AY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M566" s="2"/>
    </row>
    <row r="567" spans="12:65" x14ac:dyDescent="0.25">
      <c r="L567" s="2">
        <v>504016</v>
      </c>
      <c r="M567" s="2" t="s">
        <v>52</v>
      </c>
      <c r="N567" s="2">
        <v>505839</v>
      </c>
      <c r="O567" t="s">
        <v>53</v>
      </c>
      <c r="P567">
        <v>3408890115</v>
      </c>
      <c r="Q567" s="5">
        <v>46041.875185185185</v>
      </c>
      <c r="R567" s="2" t="s">
        <v>62</v>
      </c>
      <c r="S567" s="2" t="s">
        <v>51</v>
      </c>
      <c r="T567" s="2" t="s">
        <v>55</v>
      </c>
      <c r="U567" s="2" t="s">
        <v>56</v>
      </c>
      <c r="V567" s="2" t="s">
        <v>57</v>
      </c>
      <c r="W567" s="2" t="s">
        <v>58</v>
      </c>
      <c r="X567" s="2" t="s">
        <v>59</v>
      </c>
      <c r="Y567" s="1">
        <v>509.96</v>
      </c>
      <c r="Z567" s="1">
        <v>509.96</v>
      </c>
      <c r="AA567" s="1">
        <v>34.99</v>
      </c>
      <c r="AB567" s="1">
        <v>25.5</v>
      </c>
      <c r="AC567" s="1">
        <v>0</v>
      </c>
      <c r="AD567" s="1">
        <v>70.055260000000004</v>
      </c>
      <c r="AE567" s="1">
        <v>570.45000000000005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447.33332999999999</v>
      </c>
      <c r="AR567" s="1">
        <v>447.33332999999999</v>
      </c>
      <c r="AS567" s="1">
        <v>111.83333</v>
      </c>
      <c r="AT567" s="1">
        <v>15.6566662</v>
      </c>
      <c r="AU567" s="1">
        <v>0</v>
      </c>
      <c r="AV567" s="2" t="s">
        <v>69</v>
      </c>
      <c r="AW567" s="1">
        <v>382.47</v>
      </c>
      <c r="AX567" s="1">
        <f>Table1[[#This Row],[Original Commissionable GMV]]-Table1[[#This Row],[Commission ]]-Table1[[#This Row],[Commission VAT]]-Table1[[#This Row],[FreeDeliveryFund]]</f>
        <v>319.84333379999998</v>
      </c>
      <c r="AY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M567" s="2"/>
    </row>
    <row r="568" spans="12:65" x14ac:dyDescent="0.25">
      <c r="L568" s="2">
        <v>504016</v>
      </c>
      <c r="M568" s="2" t="s">
        <v>52</v>
      </c>
      <c r="N568" s="2">
        <v>505837</v>
      </c>
      <c r="O568" t="s">
        <v>53</v>
      </c>
      <c r="P568">
        <v>3408939261</v>
      </c>
      <c r="Q568" s="5">
        <v>46041.894606481481</v>
      </c>
      <c r="R568" s="2" t="s">
        <v>54</v>
      </c>
      <c r="S568" s="2" t="s">
        <v>51</v>
      </c>
      <c r="T568" s="2" t="s">
        <v>55</v>
      </c>
      <c r="U568" s="2" t="s">
        <v>56</v>
      </c>
      <c r="V568" s="2" t="s">
        <v>57</v>
      </c>
      <c r="W568" s="2" t="s">
        <v>58</v>
      </c>
      <c r="X568" s="2" t="s">
        <v>59</v>
      </c>
      <c r="Y568" s="1">
        <v>1305.96</v>
      </c>
      <c r="Z568" s="1">
        <v>1305.96</v>
      </c>
      <c r="AA568" s="1">
        <v>0</v>
      </c>
      <c r="AB568" s="1">
        <v>29.99</v>
      </c>
      <c r="AC568" s="1">
        <v>0</v>
      </c>
      <c r="AD568" s="1">
        <v>164.06404000000001</v>
      </c>
      <c r="AE568" s="1">
        <v>1335.95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22.854299999999999</v>
      </c>
      <c r="AP568" s="1">
        <v>3.1996020000000001</v>
      </c>
      <c r="AQ568" s="1">
        <v>1145.5789500000001</v>
      </c>
      <c r="AR568" s="1">
        <v>1145.5789500000001</v>
      </c>
      <c r="AS568" s="1">
        <v>286.39474000000001</v>
      </c>
      <c r="AT568" s="1">
        <v>40.095263600000003</v>
      </c>
      <c r="AU568" s="1">
        <v>31.99</v>
      </c>
      <c r="AV568" s="2" t="s">
        <v>60</v>
      </c>
      <c r="AW568" s="1">
        <v>921.42600000000004</v>
      </c>
      <c r="AX568" s="1">
        <f>Table1[[#This Row],[Original Commissionable GMV]]-Table1[[#This Row],[Commission ]]-Table1[[#This Row],[Commission VAT]]-Table1[[#This Row],[FreeDeliveryFund]]</f>
        <v>787.09894640000016</v>
      </c>
      <c r="AY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M568" s="2"/>
    </row>
    <row r="569" spans="12:65" x14ac:dyDescent="0.25">
      <c r="L569" s="2">
        <v>504016</v>
      </c>
      <c r="M569" s="2" t="s">
        <v>52</v>
      </c>
      <c r="N569" s="2">
        <v>505839</v>
      </c>
      <c r="O569" t="s">
        <v>53</v>
      </c>
      <c r="P569">
        <v>3408959312</v>
      </c>
      <c r="Q569" s="5">
        <v>46041.903136574074</v>
      </c>
      <c r="R569" s="2" t="s">
        <v>54</v>
      </c>
      <c r="S569" s="2" t="s">
        <v>51</v>
      </c>
      <c r="T569" s="2" t="s">
        <v>55</v>
      </c>
      <c r="U569" s="2" t="s">
        <v>59</v>
      </c>
      <c r="V569" s="2" t="s">
        <v>57</v>
      </c>
      <c r="W569" s="2" t="s">
        <v>58</v>
      </c>
      <c r="X569" s="2" t="s">
        <v>59</v>
      </c>
      <c r="Y569" s="1">
        <v>244.99</v>
      </c>
      <c r="Z569" s="1">
        <v>244.99</v>
      </c>
      <c r="AA569" s="1">
        <v>9</v>
      </c>
      <c r="AB569" s="1">
        <v>12.25</v>
      </c>
      <c r="AC569" s="1">
        <v>0</v>
      </c>
      <c r="AD569" s="1">
        <v>32.69614</v>
      </c>
      <c r="AE569" s="1">
        <v>266.24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4.2873250000000001</v>
      </c>
      <c r="AP569" s="1">
        <v>0.60022549999999997</v>
      </c>
      <c r="AQ569" s="1">
        <v>214.90351000000001</v>
      </c>
      <c r="AR569" s="1">
        <v>214.90351000000001</v>
      </c>
      <c r="AS569" s="1">
        <v>53.725879999999997</v>
      </c>
      <c r="AT569" s="1">
        <v>7.5216231999999996</v>
      </c>
      <c r="AU569" s="1">
        <v>30.99</v>
      </c>
      <c r="AV569" s="2" t="s">
        <v>60</v>
      </c>
      <c r="AW569" s="1">
        <v>147.86500000000001</v>
      </c>
      <c r="AX569" s="1">
        <f>Table1[[#This Row],[Original Commissionable GMV]]-Table1[[#This Row],[Commission ]]-Table1[[#This Row],[Commission VAT]]-Table1[[#This Row],[FreeDeliveryFund]]</f>
        <v>122.66600680000003</v>
      </c>
      <c r="AY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M569" s="2"/>
    </row>
    <row r="570" spans="12:65" x14ac:dyDescent="0.25">
      <c r="L570" s="2">
        <v>504016</v>
      </c>
      <c r="M570" s="2" t="s">
        <v>52</v>
      </c>
      <c r="N570" s="2">
        <v>505839</v>
      </c>
      <c r="O570" t="s">
        <v>53</v>
      </c>
      <c r="P570">
        <v>3409020994</v>
      </c>
      <c r="Q570" s="5">
        <v>46041.931851851848</v>
      </c>
      <c r="R570" s="2" t="s">
        <v>54</v>
      </c>
      <c r="S570" s="2" t="s">
        <v>51</v>
      </c>
      <c r="T570" s="2" t="s">
        <v>55</v>
      </c>
      <c r="U570" s="2" t="s">
        <v>56</v>
      </c>
      <c r="V570" s="2" t="s">
        <v>57</v>
      </c>
      <c r="W570" s="2" t="s">
        <v>58</v>
      </c>
      <c r="X570" s="2" t="s">
        <v>59</v>
      </c>
      <c r="Y570" s="1">
        <v>445.99</v>
      </c>
      <c r="Z570" s="1">
        <v>445.99</v>
      </c>
      <c r="AA570" s="1">
        <v>0</v>
      </c>
      <c r="AB570" s="1">
        <v>22.3</v>
      </c>
      <c r="AC570" s="1">
        <v>0</v>
      </c>
      <c r="AD570" s="1">
        <v>57.509300000000003</v>
      </c>
      <c r="AE570" s="1">
        <v>468.29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7.8048250000000001</v>
      </c>
      <c r="AP570" s="1">
        <v>1.0926754999999999</v>
      </c>
      <c r="AQ570" s="1">
        <v>391.21929999999998</v>
      </c>
      <c r="AR570" s="1">
        <v>391.21929999999998</v>
      </c>
      <c r="AS570" s="1">
        <v>97.804829999999995</v>
      </c>
      <c r="AT570" s="1">
        <v>13.692676199999999</v>
      </c>
      <c r="AU570" s="1">
        <v>33.99</v>
      </c>
      <c r="AV570" s="2" t="s">
        <v>60</v>
      </c>
      <c r="AW570" s="1">
        <v>291.60500000000002</v>
      </c>
      <c r="AX570" s="1">
        <f>Table1[[#This Row],[Original Commissionable GMV]]-Table1[[#This Row],[Commission ]]-Table1[[#This Row],[Commission VAT]]-Table1[[#This Row],[FreeDeliveryFund]]</f>
        <v>245.73179379999999</v>
      </c>
      <c r="AY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M570" s="2"/>
    </row>
    <row r="571" spans="12:65" x14ac:dyDescent="0.25">
      <c r="L571" s="2">
        <v>504016</v>
      </c>
      <c r="M571" s="2" t="s">
        <v>52</v>
      </c>
      <c r="N571" s="2">
        <v>505837</v>
      </c>
      <c r="O571" t="s">
        <v>53</v>
      </c>
      <c r="P571">
        <v>3409078293</v>
      </c>
      <c r="Q571" s="5">
        <v>46041.964409722219</v>
      </c>
      <c r="R571" s="2" t="s">
        <v>54</v>
      </c>
      <c r="S571" s="2" t="s">
        <v>51</v>
      </c>
      <c r="T571" s="2" t="s">
        <v>55</v>
      </c>
      <c r="U571" s="2" t="s">
        <v>59</v>
      </c>
      <c r="V571" s="2" t="s">
        <v>57</v>
      </c>
      <c r="W571" s="2" t="s">
        <v>58</v>
      </c>
      <c r="X571" s="2" t="s">
        <v>59</v>
      </c>
      <c r="Y571" s="1">
        <v>353.99</v>
      </c>
      <c r="Z571" s="1">
        <v>353.99</v>
      </c>
      <c r="AA571" s="1">
        <v>0</v>
      </c>
      <c r="AB571" s="1">
        <v>17.7</v>
      </c>
      <c r="AC571" s="1">
        <v>0</v>
      </c>
      <c r="AD571" s="1">
        <v>45.646140000000003</v>
      </c>
      <c r="AE571" s="1">
        <v>371.69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6.1948249999999998</v>
      </c>
      <c r="AP571" s="1">
        <v>0.86727549999999998</v>
      </c>
      <c r="AQ571" s="1">
        <v>310.51754</v>
      </c>
      <c r="AR571" s="1">
        <v>310.51754</v>
      </c>
      <c r="AS571" s="1">
        <v>77.629390000000001</v>
      </c>
      <c r="AT571" s="1">
        <v>10.8681146</v>
      </c>
      <c r="AU571" s="1">
        <v>31.99</v>
      </c>
      <c r="AV571" s="2" t="s">
        <v>60</v>
      </c>
      <c r="AW571" s="1">
        <v>226.44</v>
      </c>
      <c r="AX571" s="1">
        <f>Table1[[#This Row],[Original Commissionable GMV]]-Table1[[#This Row],[Commission ]]-Table1[[#This Row],[Commission VAT]]-Table1[[#This Row],[FreeDeliveryFund]]</f>
        <v>190.03003539999997</v>
      </c>
      <c r="AY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M571" s="2"/>
    </row>
    <row r="572" spans="12:65" x14ac:dyDescent="0.25">
      <c r="L572" s="2">
        <v>504016</v>
      </c>
      <c r="M572" s="2" t="s">
        <v>52</v>
      </c>
      <c r="N572" s="2">
        <v>505837</v>
      </c>
      <c r="O572" t="s">
        <v>63</v>
      </c>
      <c r="P572">
        <v>3409513972</v>
      </c>
      <c r="Q572" s="5">
        <v>46042.474398148152</v>
      </c>
      <c r="R572" s="2" t="s">
        <v>54</v>
      </c>
      <c r="S572" s="2" t="s">
        <v>51</v>
      </c>
      <c r="T572" s="2" t="s">
        <v>55</v>
      </c>
      <c r="U572" s="2" t="s">
        <v>56</v>
      </c>
      <c r="V572" s="2" t="s">
        <v>57</v>
      </c>
      <c r="W572" s="2" t="s">
        <v>58</v>
      </c>
      <c r="X572" s="2" t="s">
        <v>59</v>
      </c>
      <c r="Y572" s="1">
        <v>313.98</v>
      </c>
      <c r="Z572" s="1">
        <v>313.98</v>
      </c>
      <c r="AA572" s="1">
        <v>0</v>
      </c>
      <c r="AB572" s="1">
        <v>15.7</v>
      </c>
      <c r="AC572" s="1">
        <v>0</v>
      </c>
      <c r="AD572" s="1">
        <v>40.487020000000001</v>
      </c>
      <c r="AE572" s="1">
        <v>329.68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5.49465</v>
      </c>
      <c r="AP572" s="1">
        <v>0.76925100000000002</v>
      </c>
      <c r="AQ572" s="1">
        <v>275.42104999999998</v>
      </c>
      <c r="AR572" s="1">
        <v>275.42104999999998</v>
      </c>
      <c r="AS572" s="1">
        <v>68.855260000000001</v>
      </c>
      <c r="AT572" s="1">
        <v>9.6397364000000003</v>
      </c>
      <c r="AU572" s="1">
        <v>28.99</v>
      </c>
      <c r="AV572" s="2" t="s">
        <v>60</v>
      </c>
      <c r="AW572" s="1">
        <v>200.23099999999999</v>
      </c>
      <c r="AX572" s="1">
        <f>Table1[[#This Row],[Original Commissionable GMV]]-Table1[[#This Row],[Commission ]]-Table1[[#This Row],[Commission VAT]]-Table1[[#This Row],[FreeDeliveryFund]]</f>
        <v>167.93605359999998</v>
      </c>
      <c r="AY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M572" s="2"/>
    </row>
    <row r="573" spans="12:65" x14ac:dyDescent="0.25">
      <c r="L573" s="2">
        <v>504016</v>
      </c>
      <c r="M573" s="2" t="s">
        <v>52</v>
      </c>
      <c r="N573" s="2">
        <v>505837</v>
      </c>
      <c r="O573" t="s">
        <v>63</v>
      </c>
      <c r="P573">
        <v>3409540337</v>
      </c>
      <c r="Q573" s="5">
        <v>46042.486921296295</v>
      </c>
      <c r="R573" s="2" t="s">
        <v>54</v>
      </c>
      <c r="S573" s="2" t="s">
        <v>51</v>
      </c>
      <c r="T573" s="2" t="s">
        <v>55</v>
      </c>
      <c r="U573" s="2" t="s">
        <v>59</v>
      </c>
      <c r="V573" s="2" t="s">
        <v>57</v>
      </c>
      <c r="W573" s="2" t="s">
        <v>58</v>
      </c>
      <c r="X573" s="2" t="s">
        <v>59</v>
      </c>
      <c r="Y573" s="1">
        <v>441.98</v>
      </c>
      <c r="Z573" s="1">
        <v>519.98</v>
      </c>
      <c r="AA573" s="1">
        <v>0</v>
      </c>
      <c r="AB573" s="1">
        <v>26</v>
      </c>
      <c r="AC573" s="1">
        <v>0</v>
      </c>
      <c r="AD573" s="1">
        <v>67.050179999999997</v>
      </c>
      <c r="AE573" s="1">
        <v>467.98</v>
      </c>
      <c r="AG573" s="1">
        <v>0</v>
      </c>
      <c r="AH573" s="1">
        <v>78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7.7346500000000002</v>
      </c>
      <c r="AP573" s="1">
        <v>1.082851</v>
      </c>
      <c r="AQ573" s="1">
        <v>387.70175</v>
      </c>
      <c r="AR573" s="1">
        <v>387.70175</v>
      </c>
      <c r="AS573" s="1">
        <v>96.925439999999995</v>
      </c>
      <c r="AT573" s="1">
        <v>13.5695616</v>
      </c>
      <c r="AU573" s="1">
        <v>28.99</v>
      </c>
      <c r="AV573" s="2" t="s">
        <v>60</v>
      </c>
      <c r="AW573" s="1">
        <v>293.67700000000002</v>
      </c>
      <c r="AX573" s="1">
        <f>Table1[[#This Row],[Original Commissionable GMV]]-Table1[[#This Row],[Commission ]]-Table1[[#This Row],[Commission VAT]]-Table1[[#This Row],[FreeDeliveryFund]]</f>
        <v>248.21674840000003</v>
      </c>
      <c r="AY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M573" s="2"/>
    </row>
    <row r="574" spans="12:65" x14ac:dyDescent="0.25">
      <c r="L574" s="2">
        <v>504016</v>
      </c>
      <c r="M574" s="2" t="s">
        <v>52</v>
      </c>
      <c r="N574" s="2">
        <v>505839</v>
      </c>
      <c r="O574" t="s">
        <v>53</v>
      </c>
      <c r="P574">
        <v>3409612606</v>
      </c>
      <c r="Q574" s="5">
        <v>46042.52065972222</v>
      </c>
      <c r="R574" s="2" t="s">
        <v>54</v>
      </c>
      <c r="S574" s="2" t="s">
        <v>51</v>
      </c>
      <c r="T574" s="2" t="s">
        <v>55</v>
      </c>
      <c r="U574" s="2" t="s">
        <v>59</v>
      </c>
      <c r="V574" s="2" t="s">
        <v>57</v>
      </c>
      <c r="W574" s="2" t="s">
        <v>58</v>
      </c>
      <c r="X574" s="2" t="s">
        <v>59</v>
      </c>
      <c r="Y574" s="1">
        <v>1097.96</v>
      </c>
      <c r="Z574" s="1">
        <v>1097.96</v>
      </c>
      <c r="AA574" s="1">
        <v>41.99</v>
      </c>
      <c r="AB574" s="1">
        <v>29.99</v>
      </c>
      <c r="AC574" s="1">
        <v>0</v>
      </c>
      <c r="AD574" s="1">
        <v>143.67684</v>
      </c>
      <c r="AE574" s="1">
        <v>1169.94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30</v>
      </c>
      <c r="AN574" s="1">
        <v>4.2</v>
      </c>
      <c r="AO574" s="1">
        <v>19.214298249999999</v>
      </c>
      <c r="AP574" s="1">
        <v>2.6900017549999999</v>
      </c>
      <c r="AQ574" s="1">
        <v>963.12280999999996</v>
      </c>
      <c r="AR574" s="1">
        <v>963.12280999999996</v>
      </c>
      <c r="AS574" s="1">
        <v>240.7807</v>
      </c>
      <c r="AT574" s="1">
        <v>33.709297999999997</v>
      </c>
      <c r="AU574" s="1">
        <v>0</v>
      </c>
      <c r="AV574" s="2" t="s">
        <v>69</v>
      </c>
      <c r="AW574" s="1">
        <v>767.36599999999999</v>
      </c>
      <c r="AX574" s="1">
        <f>Table1[[#This Row],[Original Commissionable GMV]]-Table1[[#This Row],[Commission ]]-Table1[[#This Row],[Commission VAT]]-Table1[[#This Row],[FreeDeliveryFund]]</f>
        <v>688.63281199999994</v>
      </c>
      <c r="AY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M574" s="2"/>
    </row>
    <row r="575" spans="12:65" x14ac:dyDescent="0.25">
      <c r="L575" s="2">
        <v>504016</v>
      </c>
      <c r="M575" s="2" t="s">
        <v>52</v>
      </c>
      <c r="N575" s="2">
        <v>505839</v>
      </c>
      <c r="O575" t="s">
        <v>53</v>
      </c>
      <c r="P575">
        <v>3409677496</v>
      </c>
      <c r="Q575" s="5">
        <v>46042.549560185187</v>
      </c>
      <c r="R575" s="2" t="s">
        <v>54</v>
      </c>
      <c r="S575" s="2" t="s">
        <v>51</v>
      </c>
      <c r="T575" s="2" t="s">
        <v>55</v>
      </c>
      <c r="U575" s="2" t="s">
        <v>59</v>
      </c>
      <c r="V575" s="2" t="s">
        <v>57</v>
      </c>
      <c r="W575" s="2" t="s">
        <v>58</v>
      </c>
      <c r="X575" s="2" t="s">
        <v>59</v>
      </c>
      <c r="Y575" s="1">
        <v>466.99</v>
      </c>
      <c r="Z575" s="1">
        <v>466.99</v>
      </c>
      <c r="AA575" s="1">
        <v>39.99</v>
      </c>
      <c r="AB575" s="1">
        <v>23.35</v>
      </c>
      <c r="AC575" s="1">
        <v>0</v>
      </c>
      <c r="AD575" s="1">
        <v>65.128249999999994</v>
      </c>
      <c r="AE575" s="1">
        <v>530.33000000000004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8.1723250000000007</v>
      </c>
      <c r="AP575" s="1">
        <v>1.1441254999999999</v>
      </c>
      <c r="AQ575" s="1">
        <v>409.64035000000001</v>
      </c>
      <c r="AR575" s="1">
        <v>409.64035000000001</v>
      </c>
      <c r="AS575" s="1">
        <v>102.41009</v>
      </c>
      <c r="AT575" s="1">
        <v>14.3374126</v>
      </c>
      <c r="AU575" s="1">
        <v>0</v>
      </c>
      <c r="AV575" s="2" t="s">
        <v>69</v>
      </c>
      <c r="AW575" s="1">
        <v>340.92599999999999</v>
      </c>
      <c r="AX575" s="1">
        <f>Table1[[#This Row],[Original Commissionable GMV]]-Table1[[#This Row],[Commission ]]-Table1[[#This Row],[Commission VAT]]-Table1[[#This Row],[FreeDeliveryFund]]</f>
        <v>292.89284740000005</v>
      </c>
      <c r="AY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M575" s="2"/>
    </row>
    <row r="576" spans="12:65" x14ac:dyDescent="0.25">
      <c r="L576" s="2">
        <v>504016</v>
      </c>
      <c r="M576" s="2" t="s">
        <v>52</v>
      </c>
      <c r="N576" s="2">
        <v>505837</v>
      </c>
      <c r="O576" t="s">
        <v>63</v>
      </c>
      <c r="P576">
        <v>3409740248</v>
      </c>
      <c r="Q576" s="5">
        <v>46042.576620370368</v>
      </c>
      <c r="R576" s="2" t="s">
        <v>54</v>
      </c>
      <c r="S576" s="2" t="s">
        <v>51</v>
      </c>
      <c r="T576" s="2" t="s">
        <v>55</v>
      </c>
      <c r="U576" s="2" t="s">
        <v>59</v>
      </c>
      <c r="V576" s="2" t="s">
        <v>57</v>
      </c>
      <c r="W576" s="2" t="s">
        <v>58</v>
      </c>
      <c r="X576" s="2" t="s">
        <v>59</v>
      </c>
      <c r="Y576" s="1">
        <v>266.99</v>
      </c>
      <c r="Z576" s="1">
        <v>266.99</v>
      </c>
      <c r="AA576" s="1">
        <v>0</v>
      </c>
      <c r="AB576" s="1">
        <v>13.35</v>
      </c>
      <c r="AC576" s="1">
        <v>0</v>
      </c>
      <c r="AD576" s="1">
        <v>34.427720000000001</v>
      </c>
      <c r="AE576" s="1">
        <v>280.33999999999997</v>
      </c>
      <c r="AG576" s="1">
        <v>0</v>
      </c>
      <c r="AH576" s="1">
        <v>0</v>
      </c>
      <c r="AI576" s="1">
        <v>0</v>
      </c>
      <c r="AJ576" s="1">
        <v>100</v>
      </c>
      <c r="AK576" s="1">
        <v>0</v>
      </c>
      <c r="AL576" s="1">
        <v>0</v>
      </c>
      <c r="AM576" s="1">
        <v>0</v>
      </c>
      <c r="AN576" s="1">
        <v>0</v>
      </c>
      <c r="AO576" s="1">
        <v>4.6723249999999998</v>
      </c>
      <c r="AP576" s="1">
        <v>0.65412550000000003</v>
      </c>
      <c r="AQ576" s="1">
        <v>234.20175</v>
      </c>
      <c r="AR576" s="1">
        <v>234.20175</v>
      </c>
      <c r="AS576" s="1">
        <v>58.550440000000002</v>
      </c>
      <c r="AT576" s="1">
        <v>8.1970615999999996</v>
      </c>
      <c r="AU576" s="1">
        <v>28.99</v>
      </c>
      <c r="AV576" s="2" t="s">
        <v>60</v>
      </c>
      <c r="AW576" s="1">
        <v>165.92599999999999</v>
      </c>
      <c r="AX576" s="1">
        <f>Table1[[#This Row],[Original Commissionable GMV]]-Table1[[#This Row],[Commission ]]-Table1[[#This Row],[Commission VAT]]-Table1[[#This Row],[FreeDeliveryFund]]</f>
        <v>138.46424839999997</v>
      </c>
      <c r="AY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M576" s="2"/>
    </row>
    <row r="577" spans="12:65" x14ac:dyDescent="0.25">
      <c r="L577" s="2">
        <v>504016</v>
      </c>
      <c r="M577" s="2" t="s">
        <v>52</v>
      </c>
      <c r="N577" s="2">
        <v>505839</v>
      </c>
      <c r="O577" t="s">
        <v>53</v>
      </c>
      <c r="P577">
        <v>3409743894</v>
      </c>
      <c r="Q577" s="5">
        <v>46042.578136574077</v>
      </c>
      <c r="R577" s="2" t="s">
        <v>54</v>
      </c>
      <c r="S577" s="2" t="s">
        <v>51</v>
      </c>
      <c r="T577" s="2" t="s">
        <v>55</v>
      </c>
      <c r="U577" s="2" t="s">
        <v>56</v>
      </c>
      <c r="V577" s="2" t="s">
        <v>57</v>
      </c>
      <c r="W577" s="2" t="s">
        <v>58</v>
      </c>
      <c r="X577" s="2" t="s">
        <v>59</v>
      </c>
      <c r="Y577" s="1">
        <v>666.47</v>
      </c>
      <c r="Z577" s="1">
        <v>697.97</v>
      </c>
      <c r="AA577" s="1">
        <v>0</v>
      </c>
      <c r="AB577" s="1">
        <v>29.99</v>
      </c>
      <c r="AC577" s="1">
        <v>0</v>
      </c>
      <c r="AD577" s="1">
        <v>89.398600000000002</v>
      </c>
      <c r="AE577" s="1">
        <v>696.46</v>
      </c>
      <c r="AG577" s="1">
        <v>0</v>
      </c>
      <c r="AH577" s="1">
        <v>31.5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11.663225000000001</v>
      </c>
      <c r="AP577" s="1">
        <v>1.6328514999999999</v>
      </c>
      <c r="AQ577" s="1">
        <v>584.62280999999996</v>
      </c>
      <c r="AR577" s="1">
        <v>584.62280999999996</v>
      </c>
      <c r="AS577" s="1">
        <v>146.1557</v>
      </c>
      <c r="AT577" s="1">
        <v>20.461798000000002</v>
      </c>
      <c r="AU577" s="1">
        <v>32.99</v>
      </c>
      <c r="AV577" s="2" t="s">
        <v>60</v>
      </c>
      <c r="AW577" s="1">
        <v>453.56599999999997</v>
      </c>
      <c r="AX577" s="1">
        <f>Table1[[#This Row],[Original Commissionable GMV]]-Table1[[#This Row],[Commission ]]-Table1[[#This Row],[Commission VAT]]-Table1[[#This Row],[FreeDeliveryFund]]</f>
        <v>385.01531199999994</v>
      </c>
      <c r="AY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M577" s="2"/>
    </row>
    <row r="578" spans="12:65" x14ac:dyDescent="0.25">
      <c r="L578" s="2">
        <v>504016</v>
      </c>
      <c r="M578" s="2" t="s">
        <v>52</v>
      </c>
      <c r="N578" s="2">
        <v>505839</v>
      </c>
      <c r="O578" t="s">
        <v>53</v>
      </c>
      <c r="P578">
        <v>3409790595</v>
      </c>
      <c r="Q578" s="5">
        <v>46042.598090277781</v>
      </c>
      <c r="R578" s="2" t="s">
        <v>54</v>
      </c>
      <c r="S578" s="2" t="s">
        <v>51</v>
      </c>
      <c r="T578" s="2" t="s">
        <v>55</v>
      </c>
      <c r="U578" s="2" t="s">
        <v>59</v>
      </c>
      <c r="V578" s="2" t="s">
        <v>57</v>
      </c>
      <c r="W578" s="2" t="s">
        <v>58</v>
      </c>
      <c r="X578" s="2" t="s">
        <v>59</v>
      </c>
      <c r="Y578" s="1">
        <v>363.99</v>
      </c>
      <c r="Z578" s="1">
        <v>363.99</v>
      </c>
      <c r="AA578" s="1">
        <v>43.99</v>
      </c>
      <c r="AB578" s="1">
        <v>18.2</v>
      </c>
      <c r="AC578" s="1">
        <v>0</v>
      </c>
      <c r="AD578" s="1">
        <v>52.337890000000002</v>
      </c>
      <c r="AE578" s="1">
        <v>426.18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6.3698249999999996</v>
      </c>
      <c r="AP578" s="1">
        <v>0.89177550000000005</v>
      </c>
      <c r="AQ578" s="1">
        <v>319.28946999999999</v>
      </c>
      <c r="AR578" s="1">
        <v>319.28946999999999</v>
      </c>
      <c r="AS578" s="1">
        <v>79.822370000000006</v>
      </c>
      <c r="AT578" s="1">
        <v>11.175131800000001</v>
      </c>
      <c r="AU578" s="1">
        <v>0</v>
      </c>
      <c r="AV578" s="2" t="s">
        <v>69</v>
      </c>
      <c r="AW578" s="1">
        <v>265.73099999999999</v>
      </c>
      <c r="AX578" s="1">
        <f>Table1[[#This Row],[Original Commissionable GMV]]-Table1[[#This Row],[Commission ]]-Table1[[#This Row],[Commission VAT]]-Table1[[#This Row],[FreeDeliveryFund]]</f>
        <v>228.29196819999999</v>
      </c>
      <c r="AY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M578" s="2"/>
    </row>
    <row r="579" spans="12:65" x14ac:dyDescent="0.25">
      <c r="L579" s="2">
        <v>504016</v>
      </c>
      <c r="M579" s="2" t="s">
        <v>52</v>
      </c>
      <c r="N579" s="2">
        <v>505839</v>
      </c>
      <c r="O579" t="s">
        <v>63</v>
      </c>
      <c r="P579">
        <v>3409791572</v>
      </c>
      <c r="Q579" s="5">
        <v>46042.598495370374</v>
      </c>
      <c r="R579" s="2" t="s">
        <v>54</v>
      </c>
      <c r="S579" s="2" t="s">
        <v>51</v>
      </c>
      <c r="T579" s="2" t="s">
        <v>55</v>
      </c>
      <c r="U579" s="2" t="s">
        <v>56</v>
      </c>
      <c r="V579" s="2" t="s">
        <v>57</v>
      </c>
      <c r="W579" s="2" t="s">
        <v>58</v>
      </c>
      <c r="X579" s="2" t="s">
        <v>59</v>
      </c>
      <c r="Y579" s="1">
        <v>769.99</v>
      </c>
      <c r="Z579" s="1">
        <v>769.99</v>
      </c>
      <c r="AA579" s="1">
        <v>29.99</v>
      </c>
      <c r="AB579" s="1">
        <v>29.99</v>
      </c>
      <c r="AC579" s="1">
        <v>0</v>
      </c>
      <c r="AD579" s="1">
        <v>101.92614</v>
      </c>
      <c r="AE579" s="1">
        <v>829.97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13.474824999999999</v>
      </c>
      <c r="AP579" s="1">
        <v>1.8864755</v>
      </c>
      <c r="AQ579" s="1">
        <v>675.42981999999995</v>
      </c>
      <c r="AR579" s="1">
        <v>675.42981999999995</v>
      </c>
      <c r="AS579" s="1">
        <v>168.85746</v>
      </c>
      <c r="AT579" s="1">
        <v>23.640044400000001</v>
      </c>
      <c r="AU579" s="1">
        <v>0</v>
      </c>
      <c r="AV579" s="2" t="s">
        <v>69</v>
      </c>
      <c r="AW579" s="1">
        <v>562.13099999999997</v>
      </c>
      <c r="AX579" s="1">
        <f>Table1[[#This Row],[Original Commissionable GMV]]-Table1[[#This Row],[Commission ]]-Table1[[#This Row],[Commission VAT]]-Table1[[#This Row],[FreeDeliveryFund]]</f>
        <v>482.93231559999992</v>
      </c>
      <c r="AY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M579" s="2"/>
    </row>
    <row r="580" spans="12:65" x14ac:dyDescent="0.25">
      <c r="L580" s="2">
        <v>504016</v>
      </c>
      <c r="M580" s="2" t="s">
        <v>52</v>
      </c>
      <c r="N580" s="2">
        <v>505839</v>
      </c>
      <c r="O580" t="s">
        <v>63</v>
      </c>
      <c r="P580">
        <v>3409894463</v>
      </c>
      <c r="Q580" s="5">
        <v>46042.640844907408</v>
      </c>
      <c r="R580" s="2" t="s">
        <v>54</v>
      </c>
      <c r="S580" s="2" t="s">
        <v>51</v>
      </c>
      <c r="T580" s="2" t="s">
        <v>55</v>
      </c>
      <c r="U580" s="2" t="s">
        <v>56</v>
      </c>
      <c r="V580" s="2" t="s">
        <v>57</v>
      </c>
      <c r="W580" s="2" t="s">
        <v>58</v>
      </c>
      <c r="X580" s="2" t="s">
        <v>59</v>
      </c>
      <c r="Y580" s="1">
        <v>249.99</v>
      </c>
      <c r="Z580" s="1">
        <v>249.99</v>
      </c>
      <c r="AA580" s="1">
        <v>0</v>
      </c>
      <c r="AB580" s="1">
        <v>12.5</v>
      </c>
      <c r="AC580" s="1">
        <v>0</v>
      </c>
      <c r="AD580" s="1">
        <v>32.235610000000001</v>
      </c>
      <c r="AE580" s="1">
        <v>262.49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4.3748250000000004</v>
      </c>
      <c r="AP580" s="1">
        <v>0.61247549999999995</v>
      </c>
      <c r="AQ580" s="1">
        <v>219.28946999999999</v>
      </c>
      <c r="AR580" s="1">
        <v>219.28946999999999</v>
      </c>
      <c r="AS580" s="1">
        <v>54.822369999999999</v>
      </c>
      <c r="AT580" s="1">
        <v>7.6751317999999999</v>
      </c>
      <c r="AU580" s="1">
        <v>29.99</v>
      </c>
      <c r="AV580" s="2" t="s">
        <v>60</v>
      </c>
      <c r="AW580" s="1">
        <v>152.51499999999999</v>
      </c>
      <c r="AX580" s="1">
        <f>Table1[[#This Row],[Original Commissionable GMV]]-Table1[[#This Row],[Commission ]]-Table1[[#This Row],[Commission VAT]]-Table1[[#This Row],[FreeDeliveryFund]]</f>
        <v>126.80196819999999</v>
      </c>
      <c r="AY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M580" s="2"/>
    </row>
    <row r="581" spans="12:65" x14ac:dyDescent="0.25">
      <c r="L581" s="2">
        <v>504016</v>
      </c>
      <c r="M581" s="2" t="s">
        <v>52</v>
      </c>
      <c r="N581" s="2">
        <v>505839</v>
      </c>
      <c r="O581" t="s">
        <v>53</v>
      </c>
      <c r="P581">
        <v>3409938024</v>
      </c>
      <c r="Q581" s="5">
        <v>46042.657800925925</v>
      </c>
      <c r="R581" s="2" t="s">
        <v>54</v>
      </c>
      <c r="S581" s="2" t="s">
        <v>51</v>
      </c>
      <c r="T581" s="2" t="s">
        <v>55</v>
      </c>
      <c r="U581" s="2" t="s">
        <v>59</v>
      </c>
      <c r="V581" s="2" t="s">
        <v>57</v>
      </c>
      <c r="W581" s="2" t="s">
        <v>58</v>
      </c>
      <c r="X581" s="2" t="s">
        <v>59</v>
      </c>
      <c r="Y581" s="1">
        <v>353.99</v>
      </c>
      <c r="Z581" s="1">
        <v>353.99</v>
      </c>
      <c r="AA581" s="1">
        <v>0</v>
      </c>
      <c r="AB581" s="1">
        <v>17.7</v>
      </c>
      <c r="AC581" s="1">
        <v>0</v>
      </c>
      <c r="AD581" s="1">
        <v>45.646140000000003</v>
      </c>
      <c r="AE581" s="1">
        <v>371.69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6.1948249999999998</v>
      </c>
      <c r="AP581" s="1">
        <v>0.86727549999999998</v>
      </c>
      <c r="AQ581" s="1">
        <v>310.51754</v>
      </c>
      <c r="AR581" s="1">
        <v>310.51754</v>
      </c>
      <c r="AS581" s="1">
        <v>77.629390000000001</v>
      </c>
      <c r="AT581" s="1">
        <v>10.8681146</v>
      </c>
      <c r="AU581" s="1">
        <v>31.99</v>
      </c>
      <c r="AV581" s="2" t="s">
        <v>60</v>
      </c>
      <c r="AW581" s="1">
        <v>226.44</v>
      </c>
      <c r="AX581" s="1">
        <f>Table1[[#This Row],[Original Commissionable GMV]]-Table1[[#This Row],[Commission ]]-Table1[[#This Row],[Commission VAT]]-Table1[[#This Row],[FreeDeliveryFund]]</f>
        <v>190.03003539999997</v>
      </c>
      <c r="AY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M581" s="2"/>
    </row>
    <row r="582" spans="12:65" x14ac:dyDescent="0.25">
      <c r="L582" s="2">
        <v>504016</v>
      </c>
      <c r="M582" s="2" t="s">
        <v>52</v>
      </c>
      <c r="N582" s="2">
        <v>505835</v>
      </c>
      <c r="O582" t="s">
        <v>63</v>
      </c>
      <c r="P582">
        <v>3410033487</v>
      </c>
      <c r="Q582" s="5">
        <v>46042.692615740743</v>
      </c>
      <c r="R582" s="2" t="s">
        <v>66</v>
      </c>
      <c r="S582" s="2" t="s">
        <v>51</v>
      </c>
      <c r="T582" s="2" t="s">
        <v>55</v>
      </c>
      <c r="U582" s="2" t="s">
        <v>56</v>
      </c>
      <c r="V582" s="2" t="s">
        <v>57</v>
      </c>
      <c r="W582" s="2" t="s">
        <v>58</v>
      </c>
      <c r="X582" s="2" t="s">
        <v>59</v>
      </c>
      <c r="Y582" s="1">
        <v>253.99</v>
      </c>
      <c r="Z582" s="1">
        <v>253.99</v>
      </c>
      <c r="AA582" s="1">
        <v>7</v>
      </c>
      <c r="AB582" s="1">
        <v>12.7</v>
      </c>
      <c r="AC582" s="1">
        <v>0</v>
      </c>
      <c r="AD582" s="1">
        <v>33.611049999999999</v>
      </c>
      <c r="AE582" s="1">
        <v>273.69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4.4448249999999998</v>
      </c>
      <c r="AP582" s="1">
        <v>0.62227549999999998</v>
      </c>
      <c r="AQ582" s="1">
        <v>222.79825</v>
      </c>
      <c r="AR582" s="1">
        <v>222.79825</v>
      </c>
      <c r="AS582" s="1">
        <v>55.699559999999998</v>
      </c>
      <c r="AT582" s="1">
        <v>7.7979383999999996</v>
      </c>
      <c r="AU582" s="1">
        <v>26.99</v>
      </c>
      <c r="AV582" s="2" t="s">
        <v>60</v>
      </c>
      <c r="AW582" s="1">
        <v>158.435</v>
      </c>
      <c r="AX582" s="1">
        <f>Table1[[#This Row],[Original Commissionable GMV]]-Table1[[#This Row],[Commission ]]-Table1[[#This Row],[Commission VAT]]-Table1[[#This Row],[FreeDeliveryFund]]</f>
        <v>132.3107516</v>
      </c>
      <c r="AY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M582" s="2"/>
    </row>
    <row r="583" spans="12:65" x14ac:dyDescent="0.25">
      <c r="L583" s="2">
        <v>504016</v>
      </c>
      <c r="M583" s="2" t="s">
        <v>52</v>
      </c>
      <c r="N583" s="2">
        <v>505837</v>
      </c>
      <c r="O583" t="s">
        <v>63</v>
      </c>
      <c r="P583">
        <v>3410046042</v>
      </c>
      <c r="Q583" s="5">
        <v>46042.696863425925</v>
      </c>
      <c r="R583" s="2" t="s">
        <v>54</v>
      </c>
      <c r="S583" s="2" t="s">
        <v>51</v>
      </c>
      <c r="T583" s="2" t="s">
        <v>55</v>
      </c>
      <c r="U583" s="2" t="s">
        <v>59</v>
      </c>
      <c r="V583" s="2" t="s">
        <v>57</v>
      </c>
      <c r="W583" s="2" t="s">
        <v>58</v>
      </c>
      <c r="X583" s="2" t="s">
        <v>59</v>
      </c>
      <c r="Y583" s="1">
        <v>989.97</v>
      </c>
      <c r="Z583" s="1">
        <v>989.97</v>
      </c>
      <c r="AA583" s="1">
        <v>0</v>
      </c>
      <c r="AB583" s="1">
        <v>29.99</v>
      </c>
      <c r="AC583" s="1">
        <v>0</v>
      </c>
      <c r="AD583" s="1">
        <v>125.25825</v>
      </c>
      <c r="AE583" s="1">
        <v>1019.96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17.324475</v>
      </c>
      <c r="AP583" s="1">
        <v>2.4254264999999999</v>
      </c>
      <c r="AQ583" s="1">
        <v>868.39473999999996</v>
      </c>
      <c r="AR583" s="1">
        <v>868.39473999999996</v>
      </c>
      <c r="AS583" s="1">
        <v>217.09869</v>
      </c>
      <c r="AT583" s="1">
        <v>30.393816600000001</v>
      </c>
      <c r="AU583" s="1">
        <v>29.99</v>
      </c>
      <c r="AV583" s="2" t="s">
        <v>60</v>
      </c>
      <c r="AW583" s="1">
        <v>692.73800000000006</v>
      </c>
      <c r="AX583" s="1">
        <f>Table1[[#This Row],[Original Commissionable GMV]]-Table1[[#This Row],[Commission ]]-Table1[[#This Row],[Commission VAT]]-Table1[[#This Row],[FreeDeliveryFund]]</f>
        <v>590.91223339999988</v>
      </c>
      <c r="AY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M583" s="2"/>
    </row>
    <row r="584" spans="12:65" x14ac:dyDescent="0.25">
      <c r="L584" s="2">
        <v>504016</v>
      </c>
      <c r="M584" s="2" t="s">
        <v>52</v>
      </c>
      <c r="N584" s="2">
        <v>505839</v>
      </c>
      <c r="O584" t="s">
        <v>53</v>
      </c>
      <c r="P584">
        <v>3410049862</v>
      </c>
      <c r="Q584" s="5">
        <v>46042.698113425926</v>
      </c>
      <c r="R584" s="2" t="s">
        <v>62</v>
      </c>
      <c r="S584" s="2" t="s">
        <v>51</v>
      </c>
      <c r="T584" s="2" t="s">
        <v>55</v>
      </c>
      <c r="U584" s="2" t="s">
        <v>56</v>
      </c>
      <c r="V584" s="2" t="s">
        <v>57</v>
      </c>
      <c r="W584" s="2" t="s">
        <v>58</v>
      </c>
      <c r="X584" s="2" t="s">
        <v>59</v>
      </c>
      <c r="Y584" s="1">
        <v>453.99</v>
      </c>
      <c r="Z584" s="1">
        <v>453.99</v>
      </c>
      <c r="AA584" s="1">
        <v>32.99</v>
      </c>
      <c r="AB584" s="1">
        <v>22.7</v>
      </c>
      <c r="AC584" s="1">
        <v>0</v>
      </c>
      <c r="AD584" s="1">
        <v>62.592280000000002</v>
      </c>
      <c r="AE584" s="1">
        <v>509.68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398.23683999999997</v>
      </c>
      <c r="AR584" s="1">
        <v>398.23683999999997</v>
      </c>
      <c r="AS584" s="1">
        <v>99.559209999999993</v>
      </c>
      <c r="AT584" s="1">
        <v>13.9382894</v>
      </c>
      <c r="AU584" s="1">
        <v>0</v>
      </c>
      <c r="AV584" s="2" t="s">
        <v>69</v>
      </c>
      <c r="AW584" s="1">
        <v>340.49299999999999</v>
      </c>
      <c r="AX584" s="1">
        <f>Table1[[#This Row],[Original Commissionable GMV]]-Table1[[#This Row],[Commission ]]-Table1[[#This Row],[Commission VAT]]-Table1[[#This Row],[FreeDeliveryFund]]</f>
        <v>284.73934059999999</v>
      </c>
      <c r="AY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M584" s="2"/>
    </row>
    <row r="585" spans="12:65" x14ac:dyDescent="0.25">
      <c r="L585" s="2">
        <v>504016</v>
      </c>
      <c r="M585" s="2" t="s">
        <v>52</v>
      </c>
      <c r="N585" s="2">
        <v>505839</v>
      </c>
      <c r="O585" t="s">
        <v>63</v>
      </c>
      <c r="P585">
        <v>3410061569</v>
      </c>
      <c r="Q585" s="5">
        <v>46042.701990740738</v>
      </c>
      <c r="R585" s="2" t="s">
        <v>54</v>
      </c>
      <c r="S585" s="2" t="s">
        <v>51</v>
      </c>
      <c r="T585" s="2" t="s">
        <v>55</v>
      </c>
      <c r="U585" s="2" t="s">
        <v>56</v>
      </c>
      <c r="V585" s="2" t="s">
        <v>57</v>
      </c>
      <c r="W585" s="2" t="s">
        <v>58</v>
      </c>
      <c r="X585" s="2" t="s">
        <v>59</v>
      </c>
      <c r="Y585" s="1">
        <v>301.82</v>
      </c>
      <c r="Z585" s="1">
        <v>301.82</v>
      </c>
      <c r="AA585" s="1">
        <v>0</v>
      </c>
      <c r="AB585" s="1">
        <v>15.09</v>
      </c>
      <c r="AC585" s="1">
        <v>0</v>
      </c>
      <c r="AD585" s="1">
        <v>38.918770000000002</v>
      </c>
      <c r="AE585" s="1">
        <v>316.91000000000003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5.2818500000000004</v>
      </c>
      <c r="AP585" s="1">
        <v>0.73945899999999998</v>
      </c>
      <c r="AQ585" s="1">
        <v>264.75439</v>
      </c>
      <c r="AR585" s="1">
        <v>264.75439</v>
      </c>
      <c r="AS585" s="1">
        <v>66.188599999999994</v>
      </c>
      <c r="AT585" s="1">
        <v>9.2664039999999996</v>
      </c>
      <c r="AU585" s="1">
        <v>26.99</v>
      </c>
      <c r="AV585" s="2" t="s">
        <v>60</v>
      </c>
      <c r="AW585" s="1">
        <v>193.35400000000001</v>
      </c>
      <c r="AX585" s="1">
        <f>Table1[[#This Row],[Original Commissionable GMV]]-Table1[[#This Row],[Commission ]]-Table1[[#This Row],[Commission VAT]]-Table1[[#This Row],[FreeDeliveryFund]]</f>
        <v>162.30938599999999</v>
      </c>
      <c r="AY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M585" s="2"/>
    </row>
    <row r="586" spans="12:65" x14ac:dyDescent="0.25">
      <c r="L586" s="2">
        <v>504016</v>
      </c>
      <c r="M586" s="2" t="s">
        <v>52</v>
      </c>
      <c r="N586" s="2">
        <v>505837</v>
      </c>
      <c r="O586" t="s">
        <v>63</v>
      </c>
      <c r="P586">
        <v>3410076371</v>
      </c>
      <c r="Q586" s="5">
        <v>46042.706770833334</v>
      </c>
      <c r="R586" s="2" t="s">
        <v>54</v>
      </c>
      <c r="S586" s="2" t="s">
        <v>51</v>
      </c>
      <c r="T586" s="2" t="s">
        <v>55</v>
      </c>
      <c r="U586" s="2" t="s">
        <v>56</v>
      </c>
      <c r="V586" s="2" t="s">
        <v>57</v>
      </c>
      <c r="W586" s="2" t="s">
        <v>58</v>
      </c>
      <c r="X586" s="2" t="s">
        <v>59</v>
      </c>
      <c r="Y586" s="1">
        <v>319.99</v>
      </c>
      <c r="Z586" s="1">
        <v>319.99</v>
      </c>
      <c r="AA586" s="1">
        <v>26.99</v>
      </c>
      <c r="AB586" s="1">
        <v>16</v>
      </c>
      <c r="AC586" s="1">
        <v>0</v>
      </c>
      <c r="AD586" s="1">
        <v>44.57649</v>
      </c>
      <c r="AE586" s="1">
        <v>362.98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5.5998250000000001</v>
      </c>
      <c r="AP586" s="1">
        <v>0.78397550000000005</v>
      </c>
      <c r="AQ586" s="1">
        <v>280.69297999999998</v>
      </c>
      <c r="AR586" s="1">
        <v>280.69297999999998</v>
      </c>
      <c r="AS586" s="1">
        <v>70.173249999999996</v>
      </c>
      <c r="AT586" s="1">
        <v>9.8242550000000008</v>
      </c>
      <c r="AU586" s="1">
        <v>0</v>
      </c>
      <c r="AV586" s="2" t="s">
        <v>69</v>
      </c>
      <c r="AW586" s="1">
        <v>233.60900000000001</v>
      </c>
      <c r="AX586" s="1">
        <f>Table1[[#This Row],[Original Commissionable GMV]]-Table1[[#This Row],[Commission ]]-Table1[[#This Row],[Commission VAT]]-Table1[[#This Row],[FreeDeliveryFund]]</f>
        <v>200.69547499999999</v>
      </c>
      <c r="AY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M586" s="2"/>
    </row>
    <row r="587" spans="12:65" x14ac:dyDescent="0.25">
      <c r="L587" s="2">
        <v>504016</v>
      </c>
      <c r="M587" s="2" t="s">
        <v>52</v>
      </c>
      <c r="N587" s="2">
        <v>505837</v>
      </c>
      <c r="O587" t="s">
        <v>53</v>
      </c>
      <c r="P587">
        <v>3410184499</v>
      </c>
      <c r="Q587" s="5">
        <v>46042.740891203706</v>
      </c>
      <c r="R587" s="2" t="s">
        <v>62</v>
      </c>
      <c r="S587" s="2" t="s">
        <v>51</v>
      </c>
      <c r="T587" s="2" t="s">
        <v>55</v>
      </c>
      <c r="U587" s="2" t="s">
        <v>59</v>
      </c>
      <c r="V587" s="2" t="s">
        <v>57</v>
      </c>
      <c r="W587" s="2" t="s">
        <v>58</v>
      </c>
      <c r="X587" s="2" t="s">
        <v>59</v>
      </c>
      <c r="Y587" s="1">
        <v>683.98</v>
      </c>
      <c r="Z587" s="1">
        <v>683.98</v>
      </c>
      <c r="AA587" s="1">
        <v>0</v>
      </c>
      <c r="AB587" s="1">
        <v>29.99</v>
      </c>
      <c r="AC587" s="1">
        <v>0</v>
      </c>
      <c r="AD587" s="1">
        <v>87.680530000000005</v>
      </c>
      <c r="AE587" s="1">
        <v>713.97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599.98245999999995</v>
      </c>
      <c r="AR587" s="1">
        <v>599.98245999999995</v>
      </c>
      <c r="AS587" s="1">
        <v>149.99562</v>
      </c>
      <c r="AT587" s="1">
        <v>20.9993868</v>
      </c>
      <c r="AU587" s="1">
        <v>31.99</v>
      </c>
      <c r="AV587" s="2" t="s">
        <v>60</v>
      </c>
      <c r="AW587" s="1">
        <v>480.995</v>
      </c>
      <c r="AX587" s="1">
        <f>Table1[[#This Row],[Original Commissionable GMV]]-Table1[[#This Row],[Commission ]]-Table1[[#This Row],[Commission VAT]]-Table1[[#This Row],[FreeDeliveryFund]]</f>
        <v>396.99745319999988</v>
      </c>
      <c r="AY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M587" s="2"/>
    </row>
    <row r="588" spans="12:65" x14ac:dyDescent="0.25">
      <c r="L588" s="2">
        <v>504016</v>
      </c>
      <c r="M588" s="2" t="s">
        <v>52</v>
      </c>
      <c r="N588" s="2">
        <v>505835</v>
      </c>
      <c r="O588" t="s">
        <v>63</v>
      </c>
      <c r="P588">
        <v>3410204972</v>
      </c>
      <c r="Q588" s="5">
        <v>46042.747164351851</v>
      </c>
      <c r="R588" s="2" t="s">
        <v>54</v>
      </c>
      <c r="S588" s="2" t="s">
        <v>51</v>
      </c>
      <c r="T588" s="2" t="s">
        <v>55</v>
      </c>
      <c r="U588" s="2" t="s">
        <v>59</v>
      </c>
      <c r="V588" s="2" t="s">
        <v>57</v>
      </c>
      <c r="W588" s="2" t="s">
        <v>58</v>
      </c>
      <c r="X588" s="2" t="s">
        <v>59</v>
      </c>
      <c r="Y588" s="1">
        <v>950.96</v>
      </c>
      <c r="Z588" s="1">
        <v>950.96</v>
      </c>
      <c r="AA588" s="1">
        <v>28.99</v>
      </c>
      <c r="AB588" s="1">
        <v>29.99</v>
      </c>
      <c r="AC588" s="1">
        <v>0</v>
      </c>
      <c r="AD588" s="1">
        <v>124.02772</v>
      </c>
      <c r="AE588" s="1">
        <v>1009.94</v>
      </c>
      <c r="AF588" s="1">
        <v>1057.8100999999999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16.6418</v>
      </c>
      <c r="AP588" s="1">
        <v>2.3298519999999998</v>
      </c>
      <c r="AQ588" s="1">
        <v>876.16666999999995</v>
      </c>
      <c r="AR588" s="1">
        <v>876.16666999999995</v>
      </c>
      <c r="AS588" s="1">
        <v>219.04167000000001</v>
      </c>
      <c r="AT588" s="1">
        <v>30.665833800000001</v>
      </c>
      <c r="AU588" s="1">
        <v>0</v>
      </c>
      <c r="AV588" s="2" t="s">
        <v>69</v>
      </c>
      <c r="AW588" s="1">
        <v>682.28099999999995</v>
      </c>
      <c r="AX588" s="1">
        <f>Table1[[#This Row],[Original Commissionable GMV]]-Table1[[#This Row],[Commission ]]-Table1[[#This Row],[Commission VAT]]-Table1[[#This Row],[FreeDeliveryFund]]</f>
        <v>626.45916620000003</v>
      </c>
      <c r="AY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M588" s="2"/>
    </row>
    <row r="589" spans="12:65" x14ac:dyDescent="0.25">
      <c r="L589" s="2">
        <v>504016</v>
      </c>
      <c r="M589" s="2" t="s">
        <v>52</v>
      </c>
      <c r="N589" s="2">
        <v>505839</v>
      </c>
      <c r="O589" t="s">
        <v>53</v>
      </c>
      <c r="P589">
        <v>3410212085</v>
      </c>
      <c r="Q589" s="5">
        <v>46042.749363425923</v>
      </c>
      <c r="R589" s="2" t="s">
        <v>54</v>
      </c>
      <c r="S589" s="2" t="s">
        <v>51</v>
      </c>
      <c r="T589" s="2" t="s">
        <v>55</v>
      </c>
      <c r="U589" s="2" t="s">
        <v>56</v>
      </c>
      <c r="V589" s="2" t="s">
        <v>57</v>
      </c>
      <c r="W589" s="2" t="s">
        <v>58</v>
      </c>
      <c r="X589" s="2" t="s">
        <v>59</v>
      </c>
      <c r="Y589" s="1">
        <v>827.26</v>
      </c>
      <c r="Z589" s="1">
        <v>827.26</v>
      </c>
      <c r="AA589" s="1">
        <v>31.99</v>
      </c>
      <c r="AB589" s="1">
        <v>29.99</v>
      </c>
      <c r="AC589" s="1">
        <v>0</v>
      </c>
      <c r="AD589" s="1">
        <v>109.20491</v>
      </c>
      <c r="AE589" s="1">
        <v>889.24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60</v>
      </c>
      <c r="AM589" s="1">
        <v>0</v>
      </c>
      <c r="AN589" s="1">
        <v>0</v>
      </c>
      <c r="AO589" s="1">
        <v>14.47705</v>
      </c>
      <c r="AP589" s="1">
        <v>2.0267870000000001</v>
      </c>
      <c r="AQ589" s="1">
        <v>725.66666999999995</v>
      </c>
      <c r="AR589" s="1">
        <v>725.66666999999995</v>
      </c>
      <c r="AS589" s="1">
        <v>181.41667000000001</v>
      </c>
      <c r="AT589" s="1">
        <v>25.3983338</v>
      </c>
      <c r="AU589" s="1">
        <v>0</v>
      </c>
      <c r="AV589" s="2" t="s">
        <v>69</v>
      </c>
      <c r="AW589" s="1">
        <v>603.94100000000003</v>
      </c>
      <c r="AX589" s="1">
        <f>Table1[[#This Row],[Original Commissionable GMV]]-Table1[[#This Row],[Commission ]]-Table1[[#This Row],[Commission VAT]]-Table1[[#This Row],[FreeDeliveryFund]]</f>
        <v>518.85166619999995</v>
      </c>
      <c r="AY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M589" s="2"/>
    </row>
    <row r="590" spans="12:65" x14ac:dyDescent="0.25">
      <c r="L590" s="2">
        <v>504016</v>
      </c>
      <c r="M590" s="2" t="s">
        <v>52</v>
      </c>
      <c r="N590" s="2">
        <v>505835</v>
      </c>
      <c r="O590" t="s">
        <v>65</v>
      </c>
      <c r="P590">
        <v>3410217346</v>
      </c>
      <c r="Q590" s="5">
        <v>46042.75099537037</v>
      </c>
      <c r="R590" s="2" t="s">
        <v>62</v>
      </c>
      <c r="S590" s="2" t="s">
        <v>51</v>
      </c>
      <c r="T590" s="2" t="s">
        <v>55</v>
      </c>
      <c r="U590" s="2" t="s">
        <v>56</v>
      </c>
      <c r="V590" s="2" t="s">
        <v>57</v>
      </c>
      <c r="W590" s="2" t="s">
        <v>58</v>
      </c>
      <c r="X590" s="2" t="s">
        <v>59</v>
      </c>
      <c r="Y590" s="1">
        <v>209.99</v>
      </c>
      <c r="Z590" s="1">
        <v>209.99</v>
      </c>
      <c r="AA590" s="1">
        <v>28.99</v>
      </c>
      <c r="AB590" s="1">
        <v>10.5</v>
      </c>
      <c r="AC590" s="1">
        <v>0</v>
      </c>
      <c r="AD590" s="1">
        <v>30.637889999999999</v>
      </c>
      <c r="AE590" s="1">
        <v>249.48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184.20175</v>
      </c>
      <c r="AR590" s="1">
        <v>184.20175</v>
      </c>
      <c r="AS590" s="1">
        <v>46.050440000000002</v>
      </c>
      <c r="AT590" s="1">
        <v>6.4470615999999996</v>
      </c>
      <c r="AU590" s="1">
        <v>0</v>
      </c>
      <c r="AV590" s="2" t="s">
        <v>69</v>
      </c>
      <c r="AW590" s="1">
        <v>157.49199999999999</v>
      </c>
      <c r="AX590" s="1">
        <f>Table1[[#This Row],[Original Commissionable GMV]]-Table1[[#This Row],[Commission ]]-Table1[[#This Row],[Commission VAT]]-Table1[[#This Row],[FreeDeliveryFund]]</f>
        <v>131.70424839999998</v>
      </c>
      <c r="AY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M590" s="2"/>
    </row>
    <row r="591" spans="12:65" x14ac:dyDescent="0.25">
      <c r="L591" s="2">
        <v>504016</v>
      </c>
      <c r="M591" s="2" t="s">
        <v>52</v>
      </c>
      <c r="N591" s="2">
        <v>505839</v>
      </c>
      <c r="O591" t="s">
        <v>63</v>
      </c>
      <c r="P591">
        <v>3410258702</v>
      </c>
      <c r="Q591" s="5">
        <v>46042.763414351852</v>
      </c>
      <c r="R591" s="2" t="s">
        <v>54</v>
      </c>
      <c r="S591" s="2" t="s">
        <v>51</v>
      </c>
      <c r="T591" s="2" t="s">
        <v>55</v>
      </c>
      <c r="U591" s="2" t="s">
        <v>56</v>
      </c>
      <c r="V591" s="2" t="s">
        <v>57</v>
      </c>
      <c r="W591" s="2" t="s">
        <v>58</v>
      </c>
      <c r="X591" s="2" t="s">
        <v>59</v>
      </c>
      <c r="Y591" s="1">
        <v>511.98</v>
      </c>
      <c r="Z591" s="1">
        <v>511.98</v>
      </c>
      <c r="AA591" s="1">
        <v>0</v>
      </c>
      <c r="AB591" s="1">
        <v>25.6</v>
      </c>
      <c r="AC591" s="1">
        <v>0</v>
      </c>
      <c r="AD591" s="1">
        <v>66.018600000000006</v>
      </c>
      <c r="AE591" s="1">
        <v>537.58000000000004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8.9596499999999999</v>
      </c>
      <c r="AP591" s="1">
        <v>1.254351</v>
      </c>
      <c r="AQ591" s="1">
        <v>449.10525999999999</v>
      </c>
      <c r="AR591" s="1">
        <v>449.10525999999999</v>
      </c>
      <c r="AS591" s="1">
        <v>112.27632</v>
      </c>
      <c r="AT591" s="1">
        <v>15.7186848</v>
      </c>
      <c r="AU591" s="1">
        <v>26.99</v>
      </c>
      <c r="AV591" s="2" t="s">
        <v>60</v>
      </c>
      <c r="AW591" s="1">
        <v>346.78100000000001</v>
      </c>
      <c r="AX591" s="1">
        <f>Table1[[#This Row],[Original Commissionable GMV]]-Table1[[#This Row],[Commission ]]-Table1[[#This Row],[Commission VAT]]-Table1[[#This Row],[FreeDeliveryFund]]</f>
        <v>294.12025519999997</v>
      </c>
      <c r="AY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M591" s="2"/>
    </row>
    <row r="592" spans="12:65" x14ac:dyDescent="0.25">
      <c r="L592" s="2">
        <v>504016</v>
      </c>
      <c r="M592" s="2" t="s">
        <v>52</v>
      </c>
      <c r="N592" s="2">
        <v>505839</v>
      </c>
      <c r="O592" t="s">
        <v>53</v>
      </c>
      <c r="P592">
        <v>3410348124</v>
      </c>
      <c r="Q592" s="5">
        <v>46042.790196759262</v>
      </c>
      <c r="R592" s="2" t="s">
        <v>62</v>
      </c>
      <c r="S592" s="2" t="s">
        <v>51</v>
      </c>
      <c r="T592" s="2" t="s">
        <v>55</v>
      </c>
      <c r="U592" s="2" t="s">
        <v>59</v>
      </c>
      <c r="V592" s="2" t="s">
        <v>57</v>
      </c>
      <c r="W592" s="2" t="s">
        <v>58</v>
      </c>
      <c r="X592" s="2" t="s">
        <v>59</v>
      </c>
      <c r="Y592" s="1">
        <v>448.49</v>
      </c>
      <c r="Z592" s="1">
        <v>448.49</v>
      </c>
      <c r="AA592" s="1">
        <v>32.99</v>
      </c>
      <c r="AB592" s="1">
        <v>22.42</v>
      </c>
      <c r="AC592" s="1">
        <v>0</v>
      </c>
      <c r="AD592" s="1">
        <v>61.882460000000002</v>
      </c>
      <c r="AE592" s="1">
        <v>503.9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30</v>
      </c>
      <c r="AN592" s="1">
        <v>4.2</v>
      </c>
      <c r="AO592" s="1">
        <v>0</v>
      </c>
      <c r="AP592" s="1">
        <v>0</v>
      </c>
      <c r="AQ592" s="1">
        <v>393.41228000000001</v>
      </c>
      <c r="AR592" s="1">
        <v>393.41228000000001</v>
      </c>
      <c r="AS592" s="1">
        <v>98.353070000000002</v>
      </c>
      <c r="AT592" s="1">
        <v>13.769429799999999</v>
      </c>
      <c r="AU592" s="1">
        <v>0</v>
      </c>
      <c r="AV592" s="2" t="s">
        <v>69</v>
      </c>
      <c r="AW592" s="1">
        <v>302.16800000000001</v>
      </c>
      <c r="AX592" s="1">
        <f>Table1[[#This Row],[Original Commissionable GMV]]-Table1[[#This Row],[Commission ]]-Table1[[#This Row],[Commission VAT]]-Table1[[#This Row],[FreeDeliveryFund]]</f>
        <v>281.2897802</v>
      </c>
      <c r="AY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M592" s="2"/>
    </row>
    <row r="593" spans="12:65" x14ac:dyDescent="0.25">
      <c r="L593" s="2">
        <v>504016</v>
      </c>
      <c r="M593" s="2" t="s">
        <v>52</v>
      </c>
      <c r="N593" s="2">
        <v>505837</v>
      </c>
      <c r="O593" t="s">
        <v>53</v>
      </c>
      <c r="P593">
        <v>3410355363</v>
      </c>
      <c r="Q593" s="5">
        <v>46042.792407407411</v>
      </c>
      <c r="R593" s="2" t="s">
        <v>62</v>
      </c>
      <c r="S593" s="2" t="s">
        <v>51</v>
      </c>
      <c r="T593" s="2" t="s">
        <v>55</v>
      </c>
      <c r="U593" s="2" t="s">
        <v>59</v>
      </c>
      <c r="V593" s="2" t="s">
        <v>57</v>
      </c>
      <c r="W593" s="2" t="s">
        <v>58</v>
      </c>
      <c r="X593" s="2" t="s">
        <v>59</v>
      </c>
      <c r="Y593" s="1">
        <v>244.99</v>
      </c>
      <c r="Z593" s="1">
        <v>244.99</v>
      </c>
      <c r="AA593" s="1">
        <v>33.99</v>
      </c>
      <c r="AB593" s="1">
        <v>12.25</v>
      </c>
      <c r="AC593" s="1">
        <v>0</v>
      </c>
      <c r="AD593" s="1">
        <v>35.765090000000001</v>
      </c>
      <c r="AE593" s="1">
        <v>291.23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214.90351000000001</v>
      </c>
      <c r="AR593" s="1">
        <v>214.90351000000001</v>
      </c>
      <c r="AS593" s="1">
        <v>53.725879999999997</v>
      </c>
      <c r="AT593" s="1">
        <v>7.5216231999999996</v>
      </c>
      <c r="AU593" s="1">
        <v>0</v>
      </c>
      <c r="AV593" s="2" t="s">
        <v>69</v>
      </c>
      <c r="AW593" s="1">
        <v>183.74199999999999</v>
      </c>
      <c r="AX593" s="1">
        <f>Table1[[#This Row],[Original Commissionable GMV]]-Table1[[#This Row],[Commission ]]-Table1[[#This Row],[Commission VAT]]-Table1[[#This Row],[FreeDeliveryFund]]</f>
        <v>153.65600680000003</v>
      </c>
      <c r="AY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M593" s="2"/>
    </row>
    <row r="594" spans="12:65" x14ac:dyDescent="0.25">
      <c r="L594" s="2">
        <v>504016</v>
      </c>
      <c r="M594" s="2" t="s">
        <v>52</v>
      </c>
      <c r="N594" s="2">
        <v>505837</v>
      </c>
      <c r="O594" t="s">
        <v>53</v>
      </c>
      <c r="P594">
        <v>3410357428</v>
      </c>
      <c r="Q594" s="5">
        <v>46042.793009259258</v>
      </c>
      <c r="R594" s="2" t="s">
        <v>54</v>
      </c>
      <c r="S594" s="2" t="s">
        <v>51</v>
      </c>
      <c r="T594" s="2" t="s">
        <v>55</v>
      </c>
      <c r="U594" s="2" t="s">
        <v>56</v>
      </c>
      <c r="V594" s="2" t="s">
        <v>57</v>
      </c>
      <c r="W594" s="2" t="s">
        <v>58</v>
      </c>
      <c r="X594" s="2" t="s">
        <v>59</v>
      </c>
      <c r="Y594" s="1">
        <v>738.29</v>
      </c>
      <c r="Z594" s="1">
        <v>738.29</v>
      </c>
      <c r="AA594" s="1">
        <v>9</v>
      </c>
      <c r="AB594" s="1">
        <v>29.99</v>
      </c>
      <c r="AC594" s="1">
        <v>0</v>
      </c>
      <c r="AD594" s="1">
        <v>95.455439999999996</v>
      </c>
      <c r="AE594" s="1">
        <v>777.28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12.920075000000001</v>
      </c>
      <c r="AP594" s="1">
        <v>1.8088105000000001</v>
      </c>
      <c r="AQ594" s="1">
        <v>647.62280999999996</v>
      </c>
      <c r="AR594" s="1">
        <v>647.62280999999996</v>
      </c>
      <c r="AS594" s="1">
        <v>161.9057</v>
      </c>
      <c r="AT594" s="1">
        <v>22.666798</v>
      </c>
      <c r="AU594" s="1">
        <v>31.99</v>
      </c>
      <c r="AV594" s="2" t="s">
        <v>60</v>
      </c>
      <c r="AW594" s="1">
        <v>506.99900000000002</v>
      </c>
      <c r="AX594" s="1">
        <f>Table1[[#This Row],[Original Commissionable GMV]]-Table1[[#This Row],[Commission ]]-Table1[[#This Row],[Commission VAT]]-Table1[[#This Row],[FreeDeliveryFund]]</f>
        <v>431.06031199999995</v>
      </c>
      <c r="AY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M594" s="2"/>
    </row>
    <row r="595" spans="12:65" x14ac:dyDescent="0.25">
      <c r="L595" s="2">
        <v>504016</v>
      </c>
      <c r="M595" s="2" t="s">
        <v>52</v>
      </c>
      <c r="N595" s="2">
        <v>505837</v>
      </c>
      <c r="O595" t="s">
        <v>63</v>
      </c>
      <c r="P595">
        <v>3410417089</v>
      </c>
      <c r="Q595" s="5">
        <v>46042.811192129629</v>
      </c>
      <c r="R595" s="2" t="s">
        <v>54</v>
      </c>
      <c r="S595" s="2" t="s">
        <v>51</v>
      </c>
      <c r="T595" s="2" t="s">
        <v>55</v>
      </c>
      <c r="U595" s="2" t="s">
        <v>59</v>
      </c>
      <c r="V595" s="2" t="s">
        <v>57</v>
      </c>
      <c r="W595" s="2" t="s">
        <v>58</v>
      </c>
      <c r="X595" s="2" t="s">
        <v>59</v>
      </c>
      <c r="Y595" s="1">
        <v>790.96</v>
      </c>
      <c r="Z595" s="1">
        <v>790.96</v>
      </c>
      <c r="AA595" s="1">
        <v>0</v>
      </c>
      <c r="AB595" s="1">
        <v>29.99</v>
      </c>
      <c r="AC595" s="1">
        <v>0</v>
      </c>
      <c r="AD595" s="1">
        <v>100.81842</v>
      </c>
      <c r="AE595" s="1">
        <v>820.95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13.841799999999999</v>
      </c>
      <c r="AP595" s="1">
        <v>1.9378519999999999</v>
      </c>
      <c r="AQ595" s="1">
        <v>693.82456000000002</v>
      </c>
      <c r="AR595" s="1">
        <v>693.82456000000002</v>
      </c>
      <c r="AS595" s="1">
        <v>173.45614</v>
      </c>
      <c r="AT595" s="1">
        <v>24.2838596</v>
      </c>
      <c r="AU595" s="1">
        <v>27.99</v>
      </c>
      <c r="AV595" s="2" t="s">
        <v>60</v>
      </c>
      <c r="AW595" s="1">
        <v>549.45000000000005</v>
      </c>
      <c r="AX595" s="1">
        <f>Table1[[#This Row],[Original Commissionable GMV]]-Table1[[#This Row],[Commission ]]-Table1[[#This Row],[Commission VAT]]-Table1[[#This Row],[FreeDeliveryFund]]</f>
        <v>468.09456039999998</v>
      </c>
      <c r="AY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M595" s="2"/>
    </row>
    <row r="596" spans="12:65" x14ac:dyDescent="0.25">
      <c r="L596" s="2">
        <v>504016</v>
      </c>
      <c r="M596" s="2" t="s">
        <v>52</v>
      </c>
      <c r="N596" s="2">
        <v>505835</v>
      </c>
      <c r="O596" t="s">
        <v>63</v>
      </c>
      <c r="P596">
        <v>3410441174</v>
      </c>
      <c r="Q596" s="5">
        <v>46042.81863425926</v>
      </c>
      <c r="R596" s="2" t="s">
        <v>54</v>
      </c>
      <c r="S596" s="2" t="s">
        <v>51</v>
      </c>
      <c r="T596" s="2" t="s">
        <v>55</v>
      </c>
      <c r="U596" s="2" t="s">
        <v>59</v>
      </c>
      <c r="V596" s="2" t="s">
        <v>57</v>
      </c>
      <c r="W596" s="2" t="s">
        <v>58</v>
      </c>
      <c r="X596" s="2" t="s">
        <v>59</v>
      </c>
      <c r="Y596" s="1">
        <v>429.99</v>
      </c>
      <c r="Z596" s="1">
        <v>429.99</v>
      </c>
      <c r="AA596" s="1">
        <v>0</v>
      </c>
      <c r="AB596" s="1">
        <v>21.5</v>
      </c>
      <c r="AC596" s="1">
        <v>0</v>
      </c>
      <c r="AD596" s="1">
        <v>55.44614</v>
      </c>
      <c r="AE596" s="1">
        <v>451.49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7.5248249999999999</v>
      </c>
      <c r="AP596" s="1">
        <v>1.0534755</v>
      </c>
      <c r="AQ596" s="1">
        <v>377.18421000000001</v>
      </c>
      <c r="AR596" s="1">
        <v>377.18421000000001</v>
      </c>
      <c r="AS596" s="1">
        <v>94.296049999999994</v>
      </c>
      <c r="AT596" s="1">
        <v>13.201447</v>
      </c>
      <c r="AU596" s="1">
        <v>30.99</v>
      </c>
      <c r="AV596" s="2" t="s">
        <v>60</v>
      </c>
      <c r="AW596" s="1">
        <v>282.92399999999998</v>
      </c>
      <c r="AX596" s="1">
        <f>Table1[[#This Row],[Original Commissionable GMV]]-Table1[[#This Row],[Commission ]]-Table1[[#This Row],[Commission VAT]]-Table1[[#This Row],[FreeDeliveryFund]]</f>
        <v>238.69671300000005</v>
      </c>
      <c r="AY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M596" s="2"/>
    </row>
    <row r="597" spans="12:65" x14ac:dyDescent="0.25">
      <c r="L597" s="2">
        <v>504016</v>
      </c>
      <c r="M597" s="2" t="s">
        <v>52</v>
      </c>
      <c r="N597" s="2">
        <v>505837</v>
      </c>
      <c r="O597" t="s">
        <v>63</v>
      </c>
      <c r="P597">
        <v>3410514732</v>
      </c>
      <c r="Q597" s="5">
        <v>46042.842222222222</v>
      </c>
      <c r="R597" s="2" t="s">
        <v>54</v>
      </c>
      <c r="S597" s="2" t="s">
        <v>51</v>
      </c>
      <c r="T597" s="2" t="s">
        <v>55</v>
      </c>
      <c r="U597" s="2" t="s">
        <v>56</v>
      </c>
      <c r="V597" s="2" t="s">
        <v>57</v>
      </c>
      <c r="W597" s="2" t="s">
        <v>58</v>
      </c>
      <c r="X597" s="2" t="s">
        <v>59</v>
      </c>
      <c r="Y597" s="1">
        <v>667.98</v>
      </c>
      <c r="Z597" s="1">
        <v>667.98</v>
      </c>
      <c r="AA597" s="1">
        <v>27.99</v>
      </c>
      <c r="AB597" s="1">
        <v>29.99</v>
      </c>
      <c r="AC597" s="1">
        <v>0</v>
      </c>
      <c r="AD597" s="1">
        <v>89.152979999999999</v>
      </c>
      <c r="AE597" s="1">
        <v>725.96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11.68965</v>
      </c>
      <c r="AP597" s="1">
        <v>1.6365510000000001</v>
      </c>
      <c r="AQ597" s="1">
        <v>585.94736999999998</v>
      </c>
      <c r="AR597" s="1">
        <v>585.94736999999998</v>
      </c>
      <c r="AS597" s="1">
        <v>146.48684</v>
      </c>
      <c r="AT597" s="1">
        <v>20.508157600000001</v>
      </c>
      <c r="AU597" s="1">
        <v>0</v>
      </c>
      <c r="AV597" s="2" t="s">
        <v>69</v>
      </c>
      <c r="AW597" s="1">
        <v>487.65899999999999</v>
      </c>
      <c r="AX597" s="1">
        <f>Table1[[#This Row],[Original Commissionable GMV]]-Table1[[#This Row],[Commission ]]-Table1[[#This Row],[Commission VAT]]-Table1[[#This Row],[FreeDeliveryFund]]</f>
        <v>418.95237239999994</v>
      </c>
      <c r="AY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M597" s="2"/>
    </row>
    <row r="598" spans="12:65" x14ac:dyDescent="0.25">
      <c r="L598" s="2">
        <v>504016</v>
      </c>
      <c r="M598" s="2" t="s">
        <v>52</v>
      </c>
      <c r="N598" s="2">
        <v>505837</v>
      </c>
      <c r="O598" t="s">
        <v>53</v>
      </c>
      <c r="P598">
        <v>3410525708</v>
      </c>
      <c r="Q598" s="5">
        <v>46042.845914351848</v>
      </c>
      <c r="R598" s="2" t="s">
        <v>66</v>
      </c>
      <c r="S598" s="2" t="s">
        <v>51</v>
      </c>
      <c r="T598" s="2" t="s">
        <v>55</v>
      </c>
      <c r="U598" s="2" t="s">
        <v>59</v>
      </c>
      <c r="V598" s="2" t="s">
        <v>57</v>
      </c>
      <c r="W598" s="2" t="s">
        <v>58</v>
      </c>
      <c r="X598" s="2" t="s">
        <v>59</v>
      </c>
      <c r="Y598" s="1">
        <v>842.98</v>
      </c>
      <c r="Z598" s="1">
        <v>842.98</v>
      </c>
      <c r="AA598" s="1">
        <v>0</v>
      </c>
      <c r="AB598" s="1">
        <v>29.99</v>
      </c>
      <c r="AC598" s="1">
        <v>0</v>
      </c>
      <c r="AD598" s="1">
        <v>107.20684</v>
      </c>
      <c r="AE598" s="1">
        <v>872.97</v>
      </c>
      <c r="AF598" s="1">
        <v>953.91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14.75215</v>
      </c>
      <c r="AP598" s="1">
        <v>2.0653009999999998</v>
      </c>
      <c r="AQ598" s="1">
        <v>810.45614</v>
      </c>
      <c r="AR598" s="1">
        <v>810.45614</v>
      </c>
      <c r="AS598" s="1">
        <v>202.61403999999999</v>
      </c>
      <c r="AT598" s="1">
        <v>28.365965599999999</v>
      </c>
      <c r="AU598" s="1">
        <v>34.99</v>
      </c>
      <c r="AV598" s="2" t="s">
        <v>60</v>
      </c>
      <c r="AW598" s="1">
        <v>641.13300000000004</v>
      </c>
      <c r="AX598" s="1">
        <f>Table1[[#This Row],[Original Commissionable GMV]]-Table1[[#This Row],[Commission ]]-Table1[[#This Row],[Commission VAT]]-Table1[[#This Row],[FreeDeliveryFund]]</f>
        <v>544.48613440000008</v>
      </c>
      <c r="AY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M598" s="2"/>
    </row>
    <row r="599" spans="12:65" x14ac:dyDescent="0.25">
      <c r="L599" s="2">
        <v>504016</v>
      </c>
      <c r="M599" s="2" t="s">
        <v>52</v>
      </c>
      <c r="N599" s="2">
        <v>505837</v>
      </c>
      <c r="O599" t="s">
        <v>53</v>
      </c>
      <c r="P599">
        <v>3410536233</v>
      </c>
      <c r="Q599" s="5">
        <v>46042.849386574075</v>
      </c>
      <c r="R599" s="2" t="s">
        <v>66</v>
      </c>
      <c r="S599" s="2" t="s">
        <v>51</v>
      </c>
      <c r="T599" s="2" t="s">
        <v>55</v>
      </c>
      <c r="U599" s="2" t="s">
        <v>56</v>
      </c>
      <c r="V599" s="2" t="s">
        <v>57</v>
      </c>
      <c r="W599" s="2" t="s">
        <v>58</v>
      </c>
      <c r="X599" s="2" t="s">
        <v>59</v>
      </c>
      <c r="Y599" s="1">
        <v>240.48</v>
      </c>
      <c r="Z599" s="1">
        <v>271.98</v>
      </c>
      <c r="AA599" s="1">
        <v>9</v>
      </c>
      <c r="AB599" s="1">
        <v>13.6</v>
      </c>
      <c r="AC599" s="1">
        <v>0</v>
      </c>
      <c r="AD599" s="1">
        <v>36.176490000000001</v>
      </c>
      <c r="AE599" s="1">
        <v>263.08</v>
      </c>
      <c r="AG599" s="1">
        <v>0</v>
      </c>
      <c r="AH599" s="1">
        <v>31.5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4.2084000000000001</v>
      </c>
      <c r="AP599" s="1">
        <v>0.58917600000000003</v>
      </c>
      <c r="AQ599" s="1">
        <v>210.94737000000001</v>
      </c>
      <c r="AR599" s="1">
        <v>210.94737000000001</v>
      </c>
      <c r="AS599" s="1">
        <v>52.736840000000001</v>
      </c>
      <c r="AT599" s="1">
        <v>7.3831575999999997</v>
      </c>
      <c r="AU599" s="1">
        <v>32.99</v>
      </c>
      <c r="AV599" s="2" t="s">
        <v>60</v>
      </c>
      <c r="AW599" s="1">
        <v>142.572</v>
      </c>
      <c r="AX599" s="1">
        <f>Table1[[#This Row],[Original Commissionable GMV]]-Table1[[#This Row],[Commission ]]-Table1[[#This Row],[Commission VAT]]-Table1[[#This Row],[FreeDeliveryFund]]</f>
        <v>117.83737239999999</v>
      </c>
      <c r="AY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M599" s="2"/>
    </row>
    <row r="600" spans="12:65" x14ac:dyDescent="0.25">
      <c r="L600" s="2">
        <v>504016</v>
      </c>
      <c r="M600" s="2" t="s">
        <v>52</v>
      </c>
      <c r="N600" s="2">
        <v>505839</v>
      </c>
      <c r="O600" t="s">
        <v>53</v>
      </c>
      <c r="P600">
        <v>3410584373</v>
      </c>
      <c r="Q600" s="5">
        <v>46042.866365740738</v>
      </c>
      <c r="R600" s="2" t="s">
        <v>54</v>
      </c>
      <c r="S600" s="2" t="s">
        <v>51</v>
      </c>
      <c r="T600" s="2" t="s">
        <v>55</v>
      </c>
      <c r="U600" s="2" t="s">
        <v>59</v>
      </c>
      <c r="V600" s="2" t="s">
        <v>57</v>
      </c>
      <c r="W600" s="2" t="s">
        <v>58</v>
      </c>
      <c r="X600" s="2" t="s">
        <v>59</v>
      </c>
      <c r="Y600" s="1">
        <v>1077.6500000000001</v>
      </c>
      <c r="Z600" s="1">
        <v>1077.6500000000001</v>
      </c>
      <c r="AA600" s="1">
        <v>0</v>
      </c>
      <c r="AB600" s="1">
        <v>29.99</v>
      </c>
      <c r="AC600" s="1">
        <v>0</v>
      </c>
      <c r="AD600" s="1">
        <v>136.02596</v>
      </c>
      <c r="AE600" s="1">
        <v>1107.6400000000001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18.858875000000001</v>
      </c>
      <c r="AP600" s="1">
        <v>2.6402424999999998</v>
      </c>
      <c r="AQ600" s="1">
        <v>945.30701999999997</v>
      </c>
      <c r="AR600" s="1">
        <v>945.30701999999997</v>
      </c>
      <c r="AS600" s="1">
        <v>236.32676000000001</v>
      </c>
      <c r="AT600" s="1">
        <v>33.085746399999998</v>
      </c>
      <c r="AU600" s="1">
        <v>34.99</v>
      </c>
      <c r="AV600" s="2" t="s">
        <v>60</v>
      </c>
      <c r="AW600" s="1">
        <v>751.74800000000005</v>
      </c>
      <c r="AX600" s="1">
        <f>Table1[[#This Row],[Original Commissionable GMV]]-Table1[[#This Row],[Commission ]]-Table1[[#This Row],[Commission VAT]]-Table1[[#This Row],[FreeDeliveryFund]]</f>
        <v>640.90451359999997</v>
      </c>
      <c r="AY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M600" s="2"/>
    </row>
    <row r="601" spans="12:65" x14ac:dyDescent="0.25">
      <c r="L601" s="2">
        <v>504016</v>
      </c>
      <c r="M601" s="2" t="s">
        <v>52</v>
      </c>
      <c r="N601" s="2">
        <v>505835</v>
      </c>
      <c r="O601" t="s">
        <v>63</v>
      </c>
      <c r="P601">
        <v>3410615323</v>
      </c>
      <c r="Q601" s="5">
        <v>46042.877881944441</v>
      </c>
      <c r="R601" s="2" t="s">
        <v>54</v>
      </c>
      <c r="S601" s="2" t="s">
        <v>51</v>
      </c>
      <c r="T601" s="2" t="s">
        <v>55</v>
      </c>
      <c r="U601" s="2" t="s">
        <v>59</v>
      </c>
      <c r="V601" s="2" t="s">
        <v>57</v>
      </c>
      <c r="W601" s="2" t="s">
        <v>58</v>
      </c>
      <c r="X601" s="2" t="s">
        <v>59</v>
      </c>
      <c r="Y601" s="1">
        <v>477.97</v>
      </c>
      <c r="Z601" s="1">
        <v>513.97</v>
      </c>
      <c r="AA601" s="1">
        <v>0</v>
      </c>
      <c r="AB601" s="1">
        <v>29.99</v>
      </c>
      <c r="AC601" s="1">
        <v>0</v>
      </c>
      <c r="AD601" s="1">
        <v>66.802109999999999</v>
      </c>
      <c r="AE601" s="1">
        <v>507.96</v>
      </c>
      <c r="AF601" s="1">
        <v>711.95</v>
      </c>
      <c r="AG601" s="1">
        <v>0</v>
      </c>
      <c r="AH601" s="1">
        <v>36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8.3644750000000005</v>
      </c>
      <c r="AP601" s="1">
        <v>1.1710265</v>
      </c>
      <c r="AQ601" s="1">
        <v>598.21052999999995</v>
      </c>
      <c r="AR601" s="1">
        <v>598.21052999999995</v>
      </c>
      <c r="AS601" s="1">
        <v>149.55262999999999</v>
      </c>
      <c r="AT601" s="1">
        <v>20.937368200000002</v>
      </c>
      <c r="AU601" s="1">
        <v>26.99</v>
      </c>
      <c r="AV601" s="2" t="s">
        <v>60</v>
      </c>
      <c r="AW601" s="1">
        <v>270.95499999999998</v>
      </c>
      <c r="AX601" s="1">
        <f>Table1[[#This Row],[Original Commissionable GMV]]-Table1[[#This Row],[Commission ]]-Table1[[#This Row],[Commission VAT]]-Table1[[#This Row],[FreeDeliveryFund]]</f>
        <v>400.73053179999994</v>
      </c>
      <c r="AY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M601" s="2"/>
    </row>
    <row r="602" spans="12:65" x14ac:dyDescent="0.25">
      <c r="L602" s="2">
        <v>504016</v>
      </c>
      <c r="M602" s="2" t="s">
        <v>52</v>
      </c>
      <c r="N602" s="2">
        <v>505835</v>
      </c>
      <c r="O602" t="s">
        <v>65</v>
      </c>
      <c r="P602">
        <v>3410616007</v>
      </c>
      <c r="Q602" s="5">
        <v>46042.878148148149</v>
      </c>
      <c r="R602" s="2" t="s">
        <v>62</v>
      </c>
      <c r="S602" s="2" t="s">
        <v>51</v>
      </c>
      <c r="T602" s="2" t="s">
        <v>55</v>
      </c>
      <c r="U602" s="2" t="s">
        <v>59</v>
      </c>
      <c r="V602" s="2" t="s">
        <v>57</v>
      </c>
      <c r="W602" s="2" t="s">
        <v>58</v>
      </c>
      <c r="X602" s="2" t="s">
        <v>59</v>
      </c>
      <c r="Y602" s="1">
        <v>620.63</v>
      </c>
      <c r="Z602" s="1">
        <v>620.63</v>
      </c>
      <c r="AA602" s="1">
        <v>27.99</v>
      </c>
      <c r="AB602" s="1">
        <v>29.99</v>
      </c>
      <c r="AC602" s="1">
        <v>0</v>
      </c>
      <c r="AD602" s="1">
        <v>83.338070000000002</v>
      </c>
      <c r="AE602" s="1">
        <v>678.61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544.41228000000001</v>
      </c>
      <c r="AR602" s="1">
        <v>544.41228000000001</v>
      </c>
      <c r="AS602" s="1">
        <v>136.10307</v>
      </c>
      <c r="AT602" s="1">
        <v>19.054429800000001</v>
      </c>
      <c r="AU602" s="1">
        <v>0</v>
      </c>
      <c r="AV602" s="2" t="s">
        <v>69</v>
      </c>
      <c r="AW602" s="1">
        <v>465.47300000000001</v>
      </c>
      <c r="AX602" s="1">
        <f>Table1[[#This Row],[Original Commissionable GMV]]-Table1[[#This Row],[Commission ]]-Table1[[#This Row],[Commission VAT]]-Table1[[#This Row],[FreeDeliveryFund]]</f>
        <v>389.25478020000003</v>
      </c>
      <c r="AY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M602" s="2"/>
    </row>
    <row r="603" spans="12:65" x14ac:dyDescent="0.25">
      <c r="L603" s="2">
        <v>504016</v>
      </c>
      <c r="M603" s="2" t="s">
        <v>52</v>
      </c>
      <c r="N603" s="2">
        <v>505839</v>
      </c>
      <c r="O603" t="s">
        <v>53</v>
      </c>
      <c r="P603">
        <v>3410712645</v>
      </c>
      <c r="Q603" s="5">
        <v>46042.918113425927</v>
      </c>
      <c r="R603" s="2" t="s">
        <v>54</v>
      </c>
      <c r="S603" s="2" t="s">
        <v>51</v>
      </c>
      <c r="T603" s="2" t="s">
        <v>55</v>
      </c>
      <c r="U603" s="2" t="s">
        <v>59</v>
      </c>
      <c r="V603" s="2" t="s">
        <v>57</v>
      </c>
      <c r="W603" s="2" t="s">
        <v>58</v>
      </c>
      <c r="X603" s="2" t="s">
        <v>59</v>
      </c>
      <c r="Y603" s="1">
        <v>209.99</v>
      </c>
      <c r="Z603" s="1">
        <v>209.99</v>
      </c>
      <c r="AA603" s="1">
        <v>30.99</v>
      </c>
      <c r="AB603" s="1">
        <v>10.5</v>
      </c>
      <c r="AC603" s="1">
        <v>0</v>
      </c>
      <c r="AD603" s="1">
        <v>30.883510000000001</v>
      </c>
      <c r="AE603" s="1">
        <v>251.48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3.6748249999999998</v>
      </c>
      <c r="AP603" s="1">
        <v>0.51447549999999997</v>
      </c>
      <c r="AQ603" s="1">
        <v>184.20175</v>
      </c>
      <c r="AR603" s="1">
        <v>184.20175</v>
      </c>
      <c r="AS603" s="1">
        <v>46.050440000000002</v>
      </c>
      <c r="AT603" s="1">
        <v>6.4470615999999996</v>
      </c>
      <c r="AU603" s="1">
        <v>0</v>
      </c>
      <c r="AV603" s="2" t="s">
        <v>69</v>
      </c>
      <c r="AW603" s="1">
        <v>153.303</v>
      </c>
      <c r="AX603" s="1">
        <f>Table1[[#This Row],[Original Commissionable GMV]]-Table1[[#This Row],[Commission ]]-Table1[[#This Row],[Commission VAT]]-Table1[[#This Row],[FreeDeliveryFund]]</f>
        <v>131.70424839999998</v>
      </c>
      <c r="AY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M603" s="2"/>
    </row>
    <row r="604" spans="12:65" x14ac:dyDescent="0.25">
      <c r="L604" s="2">
        <v>504016</v>
      </c>
      <c r="M604" s="2" t="s">
        <v>52</v>
      </c>
      <c r="N604" s="2">
        <v>505837</v>
      </c>
      <c r="O604" t="s">
        <v>53</v>
      </c>
      <c r="P604">
        <v>3410721031</v>
      </c>
      <c r="Q604" s="5">
        <v>46042.921990740739</v>
      </c>
      <c r="R604" s="2" t="s">
        <v>66</v>
      </c>
      <c r="S604" s="2" t="s">
        <v>51</v>
      </c>
      <c r="T604" s="2" t="s">
        <v>55</v>
      </c>
      <c r="U604" s="2" t="s">
        <v>56</v>
      </c>
      <c r="V604" s="2" t="s">
        <v>57</v>
      </c>
      <c r="W604" s="2" t="s">
        <v>58</v>
      </c>
      <c r="X604" s="2" t="s">
        <v>59</v>
      </c>
      <c r="Y604" s="1">
        <v>241.79</v>
      </c>
      <c r="Z604" s="1">
        <v>241.79</v>
      </c>
      <c r="AA604" s="1">
        <v>9</v>
      </c>
      <c r="AB604" s="1">
        <v>12.09</v>
      </c>
      <c r="AC604" s="1">
        <v>0</v>
      </c>
      <c r="AD604" s="1">
        <v>32.28351</v>
      </c>
      <c r="AE604" s="1">
        <v>262.88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4.231325</v>
      </c>
      <c r="AP604" s="1">
        <v>0.59238550000000001</v>
      </c>
      <c r="AQ604" s="1">
        <v>212.09648999999999</v>
      </c>
      <c r="AR604" s="1">
        <v>212.09648999999999</v>
      </c>
      <c r="AS604" s="1">
        <v>53.024120000000003</v>
      </c>
      <c r="AT604" s="1">
        <v>7.4233767999999998</v>
      </c>
      <c r="AU604" s="1">
        <v>30.99</v>
      </c>
      <c r="AV604" s="2" t="s">
        <v>60</v>
      </c>
      <c r="AW604" s="1">
        <v>145.529</v>
      </c>
      <c r="AX604" s="1">
        <f>Table1[[#This Row],[Original Commissionable GMV]]-Table1[[#This Row],[Commission ]]-Table1[[#This Row],[Commission VAT]]-Table1[[#This Row],[FreeDeliveryFund]]</f>
        <v>120.65899319999998</v>
      </c>
      <c r="AY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M604" s="2"/>
    </row>
    <row r="605" spans="12:65" x14ac:dyDescent="0.25">
      <c r="L605" s="2">
        <v>504016</v>
      </c>
      <c r="M605" s="2" t="s">
        <v>52</v>
      </c>
      <c r="N605" s="2">
        <v>505837</v>
      </c>
      <c r="O605" t="s">
        <v>63</v>
      </c>
      <c r="P605">
        <v>3410743955</v>
      </c>
      <c r="Q605" s="5">
        <v>46042.93309027778</v>
      </c>
      <c r="R605" s="2" t="s">
        <v>54</v>
      </c>
      <c r="S605" s="2" t="s">
        <v>51</v>
      </c>
      <c r="T605" s="2" t="s">
        <v>55</v>
      </c>
      <c r="U605" s="2" t="s">
        <v>56</v>
      </c>
      <c r="V605" s="2" t="s">
        <v>57</v>
      </c>
      <c r="W605" s="2" t="s">
        <v>58</v>
      </c>
      <c r="X605" s="2" t="s">
        <v>59</v>
      </c>
      <c r="Y605" s="1">
        <v>319.99</v>
      </c>
      <c r="Z605" s="1">
        <v>319.99</v>
      </c>
      <c r="AA605" s="1">
        <v>28.99</v>
      </c>
      <c r="AB605" s="1">
        <v>16</v>
      </c>
      <c r="AC605" s="1">
        <v>0</v>
      </c>
      <c r="AD605" s="1">
        <v>44.822110000000002</v>
      </c>
      <c r="AE605" s="1">
        <v>364.98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5.5998250000000001</v>
      </c>
      <c r="AP605" s="1">
        <v>0.78397550000000005</v>
      </c>
      <c r="AQ605" s="1">
        <v>280.69297999999998</v>
      </c>
      <c r="AR605" s="1">
        <v>280.69297999999998</v>
      </c>
      <c r="AS605" s="1">
        <v>70.173249999999996</v>
      </c>
      <c r="AT605" s="1">
        <v>9.8242550000000008</v>
      </c>
      <c r="AU605" s="1">
        <v>0</v>
      </c>
      <c r="AV605" s="2" t="s">
        <v>69</v>
      </c>
      <c r="AW605" s="1">
        <v>233.60900000000001</v>
      </c>
      <c r="AX605" s="1">
        <f>Table1[[#This Row],[Original Commissionable GMV]]-Table1[[#This Row],[Commission ]]-Table1[[#This Row],[Commission VAT]]-Table1[[#This Row],[FreeDeliveryFund]]</f>
        <v>200.69547499999999</v>
      </c>
      <c r="AY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M605" s="2"/>
    </row>
    <row r="606" spans="12:65" x14ac:dyDescent="0.25">
      <c r="L606" s="2">
        <v>504016</v>
      </c>
      <c r="M606" s="2" t="s">
        <v>52</v>
      </c>
      <c r="N606" s="2">
        <v>505839</v>
      </c>
      <c r="O606" t="s">
        <v>63</v>
      </c>
      <c r="P606">
        <v>3410774636</v>
      </c>
      <c r="Q606" s="5">
        <v>46042.949525462966</v>
      </c>
      <c r="R606" s="2" t="s">
        <v>54</v>
      </c>
      <c r="S606" s="2" t="s">
        <v>51</v>
      </c>
      <c r="T606" s="2" t="s">
        <v>77</v>
      </c>
      <c r="U606" s="2" t="s">
        <v>56</v>
      </c>
      <c r="V606" s="2" t="s">
        <v>57</v>
      </c>
      <c r="W606" s="2" t="s">
        <v>58</v>
      </c>
      <c r="X606" s="2" t="s">
        <v>59</v>
      </c>
      <c r="Y606" s="1">
        <v>928.98</v>
      </c>
      <c r="Z606" s="1">
        <v>928.98</v>
      </c>
      <c r="AA606" s="1">
        <v>0</v>
      </c>
      <c r="AB606" s="1">
        <v>0</v>
      </c>
      <c r="AC606" s="1">
        <v>0</v>
      </c>
      <c r="AD606" s="1">
        <v>96.972110000000001</v>
      </c>
      <c r="AE606" s="1">
        <v>789.63</v>
      </c>
      <c r="AG606" s="1">
        <v>0</v>
      </c>
      <c r="AH606" s="1">
        <v>139.35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16.257202499999998</v>
      </c>
      <c r="AP606" s="1">
        <v>2.2760083500000001</v>
      </c>
      <c r="AQ606" s="1">
        <v>814.89473999999996</v>
      </c>
      <c r="AR606" s="1">
        <v>814.89473999999996</v>
      </c>
      <c r="AS606" s="1">
        <v>203.72369</v>
      </c>
      <c r="AT606" s="1">
        <v>28.521316599999999</v>
      </c>
      <c r="AU606" s="1">
        <v>0</v>
      </c>
      <c r="AV606" s="2" t="s">
        <v>69</v>
      </c>
      <c r="AW606" s="1">
        <v>678.202</v>
      </c>
      <c r="AX606" s="1">
        <f>Table1[[#This Row],[Original Commissionable GMV]]-Table1[[#This Row],[Commission ]]-Table1[[#This Row],[Commission VAT]]-Table1[[#This Row],[FreeDeliveryFund]]</f>
        <v>582.64973339999995</v>
      </c>
      <c r="AY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M606" s="2"/>
    </row>
    <row r="607" spans="12:65" x14ac:dyDescent="0.25">
      <c r="L607" s="2">
        <v>504016</v>
      </c>
      <c r="M607" s="2" t="s">
        <v>52</v>
      </c>
      <c r="N607" s="2">
        <v>505837</v>
      </c>
      <c r="O607" t="s">
        <v>63</v>
      </c>
      <c r="P607">
        <v>3411261786</v>
      </c>
      <c r="Q607" s="5">
        <v>46043.482407407406</v>
      </c>
      <c r="R607" s="2" t="s">
        <v>62</v>
      </c>
      <c r="S607" s="2" t="s">
        <v>51</v>
      </c>
      <c r="T607" s="2" t="s">
        <v>55</v>
      </c>
      <c r="U607" s="2" t="s">
        <v>59</v>
      </c>
      <c r="V607" s="2" t="s">
        <v>57</v>
      </c>
      <c r="W607" s="2" t="s">
        <v>58</v>
      </c>
      <c r="X607" s="2" t="s">
        <v>59</v>
      </c>
      <c r="Y607" s="1">
        <v>390.33</v>
      </c>
      <c r="Z607" s="1">
        <v>390.33</v>
      </c>
      <c r="AA607" s="1">
        <v>28.99</v>
      </c>
      <c r="AB607" s="1">
        <v>19.52</v>
      </c>
      <c r="AC607" s="1">
        <v>0</v>
      </c>
      <c r="AD607" s="1">
        <v>53.892629999999997</v>
      </c>
      <c r="AE607" s="1">
        <v>438.84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30</v>
      </c>
      <c r="AN607" s="1">
        <v>4.2</v>
      </c>
      <c r="AO607" s="1">
        <v>0</v>
      </c>
      <c r="AP607" s="1">
        <v>0</v>
      </c>
      <c r="AQ607" s="1">
        <v>342.39474000000001</v>
      </c>
      <c r="AR607" s="1">
        <v>342.39474000000001</v>
      </c>
      <c r="AS607" s="1">
        <v>85.598690000000005</v>
      </c>
      <c r="AT607" s="1">
        <v>11.983816600000001</v>
      </c>
      <c r="AU607" s="1">
        <v>0</v>
      </c>
      <c r="AV607" s="2" t="s">
        <v>69</v>
      </c>
      <c r="AW607" s="1">
        <v>258.54700000000003</v>
      </c>
      <c r="AX607" s="1">
        <f>Table1[[#This Row],[Original Commissionable GMV]]-Table1[[#This Row],[Commission ]]-Table1[[#This Row],[Commission VAT]]-Table1[[#This Row],[FreeDeliveryFund]]</f>
        <v>244.81223340000003</v>
      </c>
      <c r="AY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M607" s="2"/>
    </row>
    <row r="608" spans="12:65" x14ac:dyDescent="0.25">
      <c r="L608" s="2">
        <v>504016</v>
      </c>
      <c r="M608" s="2" t="s">
        <v>52</v>
      </c>
      <c r="N608" s="2">
        <v>505837</v>
      </c>
      <c r="O608" t="s">
        <v>53</v>
      </c>
      <c r="P608">
        <v>3411362097</v>
      </c>
      <c r="Q608" s="5">
        <v>46043.527488425927</v>
      </c>
      <c r="R608" s="2" t="s">
        <v>66</v>
      </c>
      <c r="S608" s="2" t="s">
        <v>51</v>
      </c>
      <c r="T608" s="2" t="s">
        <v>55</v>
      </c>
      <c r="U608" s="2" t="s">
        <v>56</v>
      </c>
      <c r="V608" s="2" t="s">
        <v>57</v>
      </c>
      <c r="W608" s="2" t="s">
        <v>58</v>
      </c>
      <c r="X608" s="2" t="s">
        <v>59</v>
      </c>
      <c r="Y608" s="1">
        <v>178.49</v>
      </c>
      <c r="Z608" s="1">
        <v>209.99</v>
      </c>
      <c r="AA608" s="1">
        <v>0</v>
      </c>
      <c r="AB608" s="1">
        <v>10.5</v>
      </c>
      <c r="AC608" s="1">
        <v>0</v>
      </c>
      <c r="AD608" s="1">
        <v>27.077719999999999</v>
      </c>
      <c r="AE608" s="1">
        <v>188.99</v>
      </c>
      <c r="AG608" s="1">
        <v>0</v>
      </c>
      <c r="AH608" s="1">
        <v>31.5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3.1235750000000002</v>
      </c>
      <c r="AP608" s="1">
        <v>0.43730049999999998</v>
      </c>
      <c r="AQ608" s="1">
        <v>156.57017999999999</v>
      </c>
      <c r="AR608" s="1">
        <v>156.57017999999999</v>
      </c>
      <c r="AS608" s="1">
        <v>39.14255</v>
      </c>
      <c r="AT608" s="1">
        <v>5.4799569999999997</v>
      </c>
      <c r="AU608" s="1">
        <v>31.99</v>
      </c>
      <c r="AV608" s="2" t="s">
        <v>60</v>
      </c>
      <c r="AW608" s="1">
        <v>98.316999999999993</v>
      </c>
      <c r="AX608" s="1">
        <f>Table1[[#This Row],[Original Commissionable GMV]]-Table1[[#This Row],[Commission ]]-Table1[[#This Row],[Commission VAT]]-Table1[[#This Row],[FreeDeliveryFund]]</f>
        <v>79.957673</v>
      </c>
      <c r="AY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M608" s="2"/>
    </row>
    <row r="609" spans="12:65" x14ac:dyDescent="0.25">
      <c r="L609" s="2">
        <v>504016</v>
      </c>
      <c r="M609" s="2" t="s">
        <v>52</v>
      </c>
      <c r="N609" s="2">
        <v>505839</v>
      </c>
      <c r="O609" t="s">
        <v>63</v>
      </c>
      <c r="P609">
        <v>3411432547</v>
      </c>
      <c r="Q609" s="5">
        <v>46043.557442129626</v>
      </c>
      <c r="R609" s="2" t="s">
        <v>54</v>
      </c>
      <c r="S609" s="2" t="s">
        <v>51</v>
      </c>
      <c r="T609" s="2" t="s">
        <v>55</v>
      </c>
      <c r="U609" s="2" t="s">
        <v>56</v>
      </c>
      <c r="V609" s="2" t="s">
        <v>57</v>
      </c>
      <c r="W609" s="2" t="s">
        <v>58</v>
      </c>
      <c r="X609" s="2" t="s">
        <v>59</v>
      </c>
      <c r="Y609" s="1">
        <v>362.99</v>
      </c>
      <c r="Z609" s="1">
        <v>362.99</v>
      </c>
      <c r="AA609" s="1">
        <v>28.99</v>
      </c>
      <c r="AB609" s="1">
        <v>18.149999999999999</v>
      </c>
      <c r="AC609" s="1">
        <v>0</v>
      </c>
      <c r="AD609" s="1">
        <v>50.366840000000003</v>
      </c>
      <c r="AE609" s="1">
        <v>410.13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6.3523250000000004</v>
      </c>
      <c r="AP609" s="1">
        <v>0.88932549999999999</v>
      </c>
      <c r="AQ609" s="1">
        <v>318.41228000000001</v>
      </c>
      <c r="AR609" s="1">
        <v>318.41228000000001</v>
      </c>
      <c r="AS609" s="1">
        <v>79.603070000000002</v>
      </c>
      <c r="AT609" s="1">
        <v>11.144429799999999</v>
      </c>
      <c r="AU609" s="1">
        <v>0</v>
      </c>
      <c r="AV609" s="2" t="s">
        <v>69</v>
      </c>
      <c r="AW609" s="1">
        <v>265.00099999999998</v>
      </c>
      <c r="AX609" s="1">
        <f>Table1[[#This Row],[Original Commissionable GMV]]-Table1[[#This Row],[Commission ]]-Table1[[#This Row],[Commission VAT]]-Table1[[#This Row],[FreeDeliveryFund]]</f>
        <v>227.6647802</v>
      </c>
      <c r="AY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M609" s="2"/>
    </row>
    <row r="610" spans="12:65" x14ac:dyDescent="0.25">
      <c r="L610" s="2">
        <v>504016</v>
      </c>
      <c r="M610" s="2" t="s">
        <v>52</v>
      </c>
      <c r="N610" s="2">
        <v>505837</v>
      </c>
      <c r="O610" t="s">
        <v>65</v>
      </c>
      <c r="P610">
        <v>3411549731</v>
      </c>
      <c r="Q610" s="5">
        <v>46043.606562499997</v>
      </c>
      <c r="R610" s="2" t="s">
        <v>54</v>
      </c>
      <c r="S610" s="2" t="s">
        <v>51</v>
      </c>
      <c r="T610" s="2" t="s">
        <v>55</v>
      </c>
      <c r="U610" s="2" t="s">
        <v>59</v>
      </c>
      <c r="V610" s="2" t="s">
        <v>57</v>
      </c>
      <c r="W610" s="2" t="s">
        <v>58</v>
      </c>
      <c r="X610" s="2" t="s">
        <v>59</v>
      </c>
      <c r="Y610" s="1">
        <v>652.91</v>
      </c>
      <c r="Z610" s="1">
        <v>652.91</v>
      </c>
      <c r="AA610" s="1">
        <v>0</v>
      </c>
      <c r="AB610" s="1">
        <v>29.99</v>
      </c>
      <c r="AC610" s="1">
        <v>0</v>
      </c>
      <c r="AD610" s="1">
        <v>83.864909999999995</v>
      </c>
      <c r="AE610" s="1">
        <v>682.9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11.425924999999999</v>
      </c>
      <c r="AP610" s="1">
        <v>1.5996295</v>
      </c>
      <c r="AQ610" s="1">
        <v>572.72807</v>
      </c>
      <c r="AR610" s="1">
        <v>572.72807</v>
      </c>
      <c r="AS610" s="1">
        <v>143.18201999999999</v>
      </c>
      <c r="AT610" s="1">
        <v>20.045482799999998</v>
      </c>
      <c r="AU610" s="1">
        <v>29.99</v>
      </c>
      <c r="AV610" s="2" t="s">
        <v>60</v>
      </c>
      <c r="AW610" s="1">
        <v>446.66699999999997</v>
      </c>
      <c r="AX610" s="1">
        <f>Table1[[#This Row],[Original Commissionable GMV]]-Table1[[#This Row],[Commission ]]-Table1[[#This Row],[Commission VAT]]-Table1[[#This Row],[FreeDeliveryFund]]</f>
        <v>379.51056720000003</v>
      </c>
      <c r="AY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M610" s="2"/>
    </row>
    <row r="611" spans="12:65" x14ac:dyDescent="0.25">
      <c r="L611" s="2">
        <v>504016</v>
      </c>
      <c r="M611" s="2" t="s">
        <v>52</v>
      </c>
      <c r="N611" s="2">
        <v>505837</v>
      </c>
      <c r="O611" t="s">
        <v>63</v>
      </c>
      <c r="P611">
        <v>3411611402</v>
      </c>
      <c r="Q611" s="5">
        <v>46043.631504629629</v>
      </c>
      <c r="R611" s="2" t="s">
        <v>54</v>
      </c>
      <c r="S611" s="2" t="s">
        <v>51</v>
      </c>
      <c r="T611" s="2" t="s">
        <v>55</v>
      </c>
      <c r="U611" s="2" t="s">
        <v>56</v>
      </c>
      <c r="V611" s="2" t="s">
        <v>57</v>
      </c>
      <c r="W611" s="2" t="s">
        <v>58</v>
      </c>
      <c r="X611" s="2" t="s">
        <v>59</v>
      </c>
      <c r="Y611" s="1">
        <v>1105.96</v>
      </c>
      <c r="Z611" s="1">
        <v>1105.96</v>
      </c>
      <c r="AA611" s="1">
        <v>27.99</v>
      </c>
      <c r="AB611" s="1">
        <v>29.99</v>
      </c>
      <c r="AC611" s="1">
        <v>0</v>
      </c>
      <c r="AD611" s="1">
        <v>142.94</v>
      </c>
      <c r="AE611" s="1">
        <v>1163.94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19.354298249999999</v>
      </c>
      <c r="AP611" s="1">
        <v>2.709601755</v>
      </c>
      <c r="AQ611" s="1">
        <v>970.14035000000001</v>
      </c>
      <c r="AR611" s="1">
        <v>970.14035000000001</v>
      </c>
      <c r="AS611" s="1">
        <v>242.53509</v>
      </c>
      <c r="AT611" s="1">
        <v>33.9549126</v>
      </c>
      <c r="AU611" s="1">
        <v>0</v>
      </c>
      <c r="AV611" s="2" t="s">
        <v>69</v>
      </c>
      <c r="AW611" s="1">
        <v>807.40599999999995</v>
      </c>
      <c r="AX611" s="1">
        <f>Table1[[#This Row],[Original Commissionable GMV]]-Table1[[#This Row],[Commission ]]-Table1[[#This Row],[Commission VAT]]-Table1[[#This Row],[FreeDeliveryFund]]</f>
        <v>693.6503474000001</v>
      </c>
      <c r="AY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M611" s="2"/>
    </row>
    <row r="612" spans="12:65" x14ac:dyDescent="0.25">
      <c r="L612" s="2">
        <v>504016</v>
      </c>
      <c r="M612" s="2" t="s">
        <v>52</v>
      </c>
      <c r="N612" s="2">
        <v>505839</v>
      </c>
      <c r="O612" t="s">
        <v>63</v>
      </c>
      <c r="P612">
        <v>3411630900</v>
      </c>
      <c r="Q612" s="5">
        <v>46043.639027777775</v>
      </c>
      <c r="R612" s="2" t="s">
        <v>62</v>
      </c>
      <c r="S612" s="2" t="s">
        <v>51</v>
      </c>
      <c r="T612" s="2" t="s">
        <v>55</v>
      </c>
      <c r="U612" s="2" t="s">
        <v>59</v>
      </c>
      <c r="V612" s="2" t="s">
        <v>57</v>
      </c>
      <c r="W612" s="2" t="s">
        <v>58</v>
      </c>
      <c r="X612" s="2" t="s">
        <v>59</v>
      </c>
      <c r="Y612" s="1">
        <v>267.67</v>
      </c>
      <c r="Z612" s="1">
        <v>267.67</v>
      </c>
      <c r="AA612" s="1">
        <v>30.99</v>
      </c>
      <c r="AB612" s="1">
        <v>13.38</v>
      </c>
      <c r="AC612" s="1">
        <v>0</v>
      </c>
      <c r="AD612" s="1">
        <v>38.320700000000002</v>
      </c>
      <c r="AE612" s="1">
        <v>312.04000000000002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234.79825</v>
      </c>
      <c r="AR612" s="1">
        <v>234.79825</v>
      </c>
      <c r="AS612" s="1">
        <v>58.699559999999998</v>
      </c>
      <c r="AT612" s="1">
        <v>8.2179383999999995</v>
      </c>
      <c r="AU612" s="1">
        <v>0</v>
      </c>
      <c r="AV612" s="2" t="s">
        <v>69</v>
      </c>
      <c r="AW612" s="1">
        <v>200.75299999999999</v>
      </c>
      <c r="AX612" s="1">
        <f>Table1[[#This Row],[Original Commissionable GMV]]-Table1[[#This Row],[Commission ]]-Table1[[#This Row],[Commission VAT]]-Table1[[#This Row],[FreeDeliveryFund]]</f>
        <v>167.8807516</v>
      </c>
      <c r="AY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M612" s="2"/>
    </row>
    <row r="613" spans="12:65" x14ac:dyDescent="0.25">
      <c r="L613" s="2">
        <v>504016</v>
      </c>
      <c r="M613" s="2" t="s">
        <v>52</v>
      </c>
      <c r="N613" s="2">
        <v>505839</v>
      </c>
      <c r="O613" t="s">
        <v>63</v>
      </c>
      <c r="P613">
        <v>3411703623</v>
      </c>
      <c r="Q613" s="5">
        <v>46043.666041666664</v>
      </c>
      <c r="R613" s="2" t="s">
        <v>54</v>
      </c>
      <c r="S613" s="2" t="s">
        <v>51</v>
      </c>
      <c r="T613" s="2" t="s">
        <v>55</v>
      </c>
      <c r="U613" s="2" t="s">
        <v>59</v>
      </c>
      <c r="V613" s="2" t="s">
        <v>57</v>
      </c>
      <c r="W613" s="2" t="s">
        <v>58</v>
      </c>
      <c r="X613" s="2" t="s">
        <v>59</v>
      </c>
      <c r="Y613" s="1">
        <v>691.61</v>
      </c>
      <c r="Z613" s="1">
        <v>691.61</v>
      </c>
      <c r="AA613" s="1">
        <v>29.99</v>
      </c>
      <c r="AB613" s="1">
        <v>29.99</v>
      </c>
      <c r="AC613" s="1">
        <v>0</v>
      </c>
      <c r="AD613" s="1">
        <v>92.300529999999995</v>
      </c>
      <c r="AE613" s="1">
        <v>751.59</v>
      </c>
      <c r="AG613" s="1">
        <v>0</v>
      </c>
      <c r="AH613" s="1">
        <v>0</v>
      </c>
      <c r="AI613" s="1">
        <v>0</v>
      </c>
      <c r="AJ613" s="1">
        <v>50</v>
      </c>
      <c r="AK613" s="1">
        <v>0</v>
      </c>
      <c r="AL613" s="1">
        <v>0</v>
      </c>
      <c r="AM613" s="1">
        <v>0</v>
      </c>
      <c r="AN613" s="1">
        <v>0</v>
      </c>
      <c r="AO613" s="1">
        <v>12.103175</v>
      </c>
      <c r="AP613" s="1">
        <v>1.6944444999999999</v>
      </c>
      <c r="AQ613" s="1">
        <v>606.67543999999998</v>
      </c>
      <c r="AR613" s="1">
        <v>606.67543999999998</v>
      </c>
      <c r="AS613" s="1">
        <v>151.66886</v>
      </c>
      <c r="AT613" s="1">
        <v>21.233640399999999</v>
      </c>
      <c r="AU613" s="1">
        <v>0</v>
      </c>
      <c r="AV613" s="2" t="s">
        <v>69</v>
      </c>
      <c r="AW613" s="1">
        <v>504.91</v>
      </c>
      <c r="AX613" s="1">
        <f>Table1[[#This Row],[Original Commissionable GMV]]-Table1[[#This Row],[Commission ]]-Table1[[#This Row],[Commission VAT]]-Table1[[#This Row],[FreeDeliveryFund]]</f>
        <v>433.77293959999997</v>
      </c>
      <c r="AY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M613" s="2"/>
    </row>
    <row r="614" spans="12:65" x14ac:dyDescent="0.25">
      <c r="L614" s="2">
        <v>504016</v>
      </c>
      <c r="M614" s="2" t="s">
        <v>52</v>
      </c>
      <c r="N614" s="2">
        <v>505837</v>
      </c>
      <c r="O614" t="s">
        <v>63</v>
      </c>
      <c r="P614">
        <v>3411735976</v>
      </c>
      <c r="Q614" s="5">
        <v>46043.677812499998</v>
      </c>
      <c r="R614" s="2" t="s">
        <v>62</v>
      </c>
      <c r="S614" s="2" t="s">
        <v>51</v>
      </c>
      <c r="T614" s="2" t="s">
        <v>55</v>
      </c>
      <c r="U614" s="2" t="s">
        <v>56</v>
      </c>
      <c r="V614" s="2" t="s">
        <v>57</v>
      </c>
      <c r="W614" s="2" t="s">
        <v>58</v>
      </c>
      <c r="X614" s="2" t="s">
        <v>59</v>
      </c>
      <c r="Y614" s="1">
        <v>1088.93</v>
      </c>
      <c r="Z614" s="1">
        <v>1088.93</v>
      </c>
      <c r="AA614" s="1">
        <v>27.99</v>
      </c>
      <c r="AB614" s="1">
        <v>29.99</v>
      </c>
      <c r="AC614" s="1">
        <v>0</v>
      </c>
      <c r="AD614" s="1">
        <v>140.8486</v>
      </c>
      <c r="AE614" s="1">
        <v>1146.9100000000001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30</v>
      </c>
      <c r="AN614" s="1">
        <v>4.2</v>
      </c>
      <c r="AO614" s="1">
        <v>0</v>
      </c>
      <c r="AP614" s="1">
        <v>0</v>
      </c>
      <c r="AQ614" s="1">
        <v>955.20174999999995</v>
      </c>
      <c r="AR614" s="1">
        <v>955.20174999999995</v>
      </c>
      <c r="AS614" s="1">
        <v>238.80044000000001</v>
      </c>
      <c r="AT614" s="1">
        <v>33.432061599999997</v>
      </c>
      <c r="AU614" s="1">
        <v>0</v>
      </c>
      <c r="AV614" s="2" t="s">
        <v>69</v>
      </c>
      <c r="AW614" s="1">
        <v>782.49699999999996</v>
      </c>
      <c r="AX614" s="1">
        <f>Table1[[#This Row],[Original Commissionable GMV]]-Table1[[#This Row],[Commission ]]-Table1[[#This Row],[Commission VAT]]-Table1[[#This Row],[FreeDeliveryFund]]</f>
        <v>682.96924839999997</v>
      </c>
      <c r="AY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M614" s="2"/>
    </row>
    <row r="615" spans="12:65" x14ac:dyDescent="0.25">
      <c r="L615" s="2">
        <v>504016</v>
      </c>
      <c r="M615" s="2" t="s">
        <v>52</v>
      </c>
      <c r="N615" s="2">
        <v>505837</v>
      </c>
      <c r="O615" t="s">
        <v>63</v>
      </c>
      <c r="P615">
        <v>3411769583</v>
      </c>
      <c r="Q615" s="5">
        <v>46043.689259259256</v>
      </c>
      <c r="R615" s="2" t="s">
        <v>54</v>
      </c>
      <c r="S615" s="2" t="s">
        <v>51</v>
      </c>
      <c r="T615" s="2" t="s">
        <v>55</v>
      </c>
      <c r="U615" s="2" t="s">
        <v>59</v>
      </c>
      <c r="V615" s="2" t="s">
        <v>57</v>
      </c>
      <c r="W615" s="2" t="s">
        <v>58</v>
      </c>
      <c r="X615" s="2" t="s">
        <v>59</v>
      </c>
      <c r="Y615" s="1">
        <v>1094.92</v>
      </c>
      <c r="Z615" s="1">
        <v>1094.92</v>
      </c>
      <c r="AA615" s="1">
        <v>0</v>
      </c>
      <c r="AB615" s="1">
        <v>29.99</v>
      </c>
      <c r="AC615" s="1">
        <v>0</v>
      </c>
      <c r="AD615" s="1">
        <v>138.14684</v>
      </c>
      <c r="AE615" s="1">
        <v>1124.9100000000001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19.161100000000001</v>
      </c>
      <c r="AP615" s="1">
        <v>2.6825540000000001</v>
      </c>
      <c r="AQ615" s="1">
        <v>960.45614</v>
      </c>
      <c r="AR615" s="1">
        <v>960.45614</v>
      </c>
      <c r="AS615" s="1">
        <v>240.11403999999999</v>
      </c>
      <c r="AT615" s="1">
        <v>33.615965600000003</v>
      </c>
      <c r="AU615" s="1">
        <v>29.99</v>
      </c>
      <c r="AV615" s="2" t="s">
        <v>60</v>
      </c>
      <c r="AW615" s="1">
        <v>769.35599999999999</v>
      </c>
      <c r="AX615" s="1">
        <f>Table1[[#This Row],[Original Commissionable GMV]]-Table1[[#This Row],[Commission ]]-Table1[[#This Row],[Commission VAT]]-Table1[[#This Row],[FreeDeliveryFund]]</f>
        <v>656.73613440000008</v>
      </c>
      <c r="AY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M615" s="2"/>
    </row>
    <row r="616" spans="12:65" x14ac:dyDescent="0.25">
      <c r="L616" s="2">
        <v>504016</v>
      </c>
      <c r="M616" s="2" t="s">
        <v>52</v>
      </c>
      <c r="N616" s="2">
        <v>505839</v>
      </c>
      <c r="O616" t="s">
        <v>63</v>
      </c>
      <c r="P616">
        <v>3411780181</v>
      </c>
      <c r="Q616" s="5">
        <v>46043.692708333336</v>
      </c>
      <c r="R616" s="2" t="s">
        <v>54</v>
      </c>
      <c r="S616" s="2" t="s">
        <v>51</v>
      </c>
      <c r="T616" s="2" t="s">
        <v>55</v>
      </c>
      <c r="U616" s="2" t="s">
        <v>56</v>
      </c>
      <c r="V616" s="2" t="s">
        <v>57</v>
      </c>
      <c r="W616" s="2" t="s">
        <v>58</v>
      </c>
      <c r="X616" s="2" t="s">
        <v>59</v>
      </c>
      <c r="Y616" s="1">
        <v>783.67</v>
      </c>
      <c r="Z616" s="1">
        <v>783.67</v>
      </c>
      <c r="AA616" s="1">
        <v>0</v>
      </c>
      <c r="AB616" s="1">
        <v>29.99</v>
      </c>
      <c r="AC616" s="1">
        <v>0</v>
      </c>
      <c r="AD616" s="1">
        <v>99.923159999999996</v>
      </c>
      <c r="AE616" s="1">
        <v>813.66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13.714225000000001</v>
      </c>
      <c r="AP616" s="1">
        <v>1.9199915000000001</v>
      </c>
      <c r="AQ616" s="1">
        <v>687.42981999999995</v>
      </c>
      <c r="AR616" s="1">
        <v>687.42981999999995</v>
      </c>
      <c r="AS616" s="1">
        <v>171.85746</v>
      </c>
      <c r="AT616" s="1">
        <v>24.060044399999999</v>
      </c>
      <c r="AU616" s="1">
        <v>29.99</v>
      </c>
      <c r="AV616" s="2" t="s">
        <v>60</v>
      </c>
      <c r="AW616" s="1">
        <v>542.12800000000004</v>
      </c>
      <c r="AX616" s="1">
        <f>Table1[[#This Row],[Original Commissionable GMV]]-Table1[[#This Row],[Commission ]]-Table1[[#This Row],[Commission VAT]]-Table1[[#This Row],[FreeDeliveryFund]]</f>
        <v>461.5223155999999</v>
      </c>
      <c r="AY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M616" s="2"/>
    </row>
    <row r="617" spans="12:65" x14ac:dyDescent="0.25">
      <c r="L617" s="2">
        <v>504016</v>
      </c>
      <c r="M617" s="2" t="s">
        <v>52</v>
      </c>
      <c r="N617" s="2">
        <v>505839</v>
      </c>
      <c r="O617" t="s">
        <v>63</v>
      </c>
      <c r="P617">
        <v>3411840975</v>
      </c>
      <c r="Q617" s="5">
        <v>46043.712268518517</v>
      </c>
      <c r="R617" s="2" t="s">
        <v>54</v>
      </c>
      <c r="S617" s="2" t="s">
        <v>51</v>
      </c>
      <c r="T617" s="2" t="s">
        <v>55</v>
      </c>
      <c r="U617" s="2" t="s">
        <v>56</v>
      </c>
      <c r="V617" s="2" t="s">
        <v>57</v>
      </c>
      <c r="W617" s="2" t="s">
        <v>58</v>
      </c>
      <c r="X617" s="2" t="s">
        <v>59</v>
      </c>
      <c r="Y617" s="1">
        <v>352</v>
      </c>
      <c r="Z617" s="1">
        <v>352</v>
      </c>
      <c r="AA617" s="1">
        <v>0</v>
      </c>
      <c r="AB617" s="1">
        <v>17.600000000000001</v>
      </c>
      <c r="AC617" s="1">
        <v>0</v>
      </c>
      <c r="AD617" s="1">
        <v>45.389470000000003</v>
      </c>
      <c r="AE617" s="1">
        <v>369.6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6.16</v>
      </c>
      <c r="AP617" s="1">
        <v>0.86240000000000006</v>
      </c>
      <c r="AQ617" s="1">
        <v>308.77193</v>
      </c>
      <c r="AR617" s="1">
        <v>308.77193</v>
      </c>
      <c r="AS617" s="1">
        <v>77.192980000000006</v>
      </c>
      <c r="AT617" s="1">
        <v>10.807017200000001</v>
      </c>
      <c r="AU617" s="1">
        <v>28.99</v>
      </c>
      <c r="AV617" s="2" t="s">
        <v>60</v>
      </c>
      <c r="AW617" s="1">
        <v>227.988</v>
      </c>
      <c r="AX617" s="1">
        <f>Table1[[#This Row],[Original Commissionable GMV]]-Table1[[#This Row],[Commission ]]-Table1[[#This Row],[Commission VAT]]-Table1[[#This Row],[FreeDeliveryFund]]</f>
        <v>191.78193279999999</v>
      </c>
      <c r="AY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M617" s="2"/>
    </row>
    <row r="618" spans="12:65" x14ac:dyDescent="0.25">
      <c r="L618" s="2">
        <v>504016</v>
      </c>
      <c r="M618" s="2" t="s">
        <v>52</v>
      </c>
      <c r="N618" s="2">
        <v>505837</v>
      </c>
      <c r="O618" t="s">
        <v>65</v>
      </c>
      <c r="P618">
        <v>3411853722</v>
      </c>
      <c r="Q618" s="5">
        <v>46043.716157407405</v>
      </c>
      <c r="R618" s="2" t="s">
        <v>62</v>
      </c>
      <c r="S618" s="2" t="s">
        <v>51</v>
      </c>
      <c r="T618" s="2" t="s">
        <v>55</v>
      </c>
      <c r="U618" s="2" t="s">
        <v>56</v>
      </c>
      <c r="V618" s="2" t="s">
        <v>57</v>
      </c>
      <c r="W618" s="2" t="s">
        <v>58</v>
      </c>
      <c r="X618" s="2" t="s">
        <v>59</v>
      </c>
      <c r="Y618" s="1">
        <v>355.99</v>
      </c>
      <c r="Z618" s="1">
        <v>355.99</v>
      </c>
      <c r="AA618" s="1">
        <v>34.99</v>
      </c>
      <c r="AB618" s="1">
        <v>17.8</v>
      </c>
      <c r="AC618" s="1">
        <v>0</v>
      </c>
      <c r="AD618" s="1">
        <v>50.201050000000002</v>
      </c>
      <c r="AE618" s="1">
        <v>408.78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312.27193</v>
      </c>
      <c r="AR618" s="1">
        <v>312.27193</v>
      </c>
      <c r="AS618" s="1">
        <v>78.067980000000006</v>
      </c>
      <c r="AT618" s="1">
        <v>10.929517199999999</v>
      </c>
      <c r="AU618" s="1">
        <v>0</v>
      </c>
      <c r="AV618" s="2" t="s">
        <v>69</v>
      </c>
      <c r="AW618" s="1">
        <v>266.99299999999999</v>
      </c>
      <c r="AX618" s="1">
        <f>Table1[[#This Row],[Original Commissionable GMV]]-Table1[[#This Row],[Commission ]]-Table1[[#This Row],[Commission VAT]]-Table1[[#This Row],[FreeDeliveryFund]]</f>
        <v>223.2744328</v>
      </c>
      <c r="AY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M618" s="2"/>
    </row>
    <row r="619" spans="12:65" x14ac:dyDescent="0.25">
      <c r="L619" s="2">
        <v>504016</v>
      </c>
      <c r="M619" s="2" t="s">
        <v>52</v>
      </c>
      <c r="N619" s="2">
        <v>505837</v>
      </c>
      <c r="O619" t="s">
        <v>65</v>
      </c>
      <c r="P619">
        <v>3411854639</v>
      </c>
      <c r="Q619" s="5">
        <v>46043.716423611113</v>
      </c>
      <c r="R619" s="2" t="s">
        <v>54</v>
      </c>
      <c r="S619" s="2" t="s">
        <v>51</v>
      </c>
      <c r="T619" s="2" t="s">
        <v>55</v>
      </c>
      <c r="U619" s="2" t="s">
        <v>56</v>
      </c>
      <c r="V619" s="2" t="s">
        <v>57</v>
      </c>
      <c r="W619" s="2" t="s">
        <v>58</v>
      </c>
      <c r="X619" s="2" t="s">
        <v>59</v>
      </c>
      <c r="Y619" s="1">
        <v>275.99</v>
      </c>
      <c r="Z619" s="1">
        <v>275.99</v>
      </c>
      <c r="AA619" s="1">
        <v>0</v>
      </c>
      <c r="AB619" s="1">
        <v>13.8</v>
      </c>
      <c r="AC619" s="1">
        <v>0</v>
      </c>
      <c r="AD619" s="1">
        <v>35.588250000000002</v>
      </c>
      <c r="AE619" s="1">
        <v>289.79000000000002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4.8298249999999996</v>
      </c>
      <c r="AP619" s="1">
        <v>0.67617550000000004</v>
      </c>
      <c r="AQ619" s="1">
        <v>242.09648999999999</v>
      </c>
      <c r="AR619" s="1">
        <v>242.09648999999999</v>
      </c>
      <c r="AS619" s="1">
        <v>60.524120000000003</v>
      </c>
      <c r="AT619" s="1">
        <v>8.4733768000000005</v>
      </c>
      <c r="AU619" s="1">
        <v>29.99</v>
      </c>
      <c r="AV619" s="2" t="s">
        <v>60</v>
      </c>
      <c r="AW619" s="1">
        <v>171.49700000000001</v>
      </c>
      <c r="AX619" s="1">
        <f>Table1[[#This Row],[Original Commissionable GMV]]-Table1[[#This Row],[Commission ]]-Table1[[#This Row],[Commission VAT]]-Table1[[#This Row],[FreeDeliveryFund]]</f>
        <v>143.10899319999996</v>
      </c>
      <c r="AY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M619" s="2"/>
    </row>
    <row r="620" spans="12:65" x14ac:dyDescent="0.25">
      <c r="L620" s="2">
        <v>504016</v>
      </c>
      <c r="M620" s="2" t="s">
        <v>52</v>
      </c>
      <c r="N620" s="2">
        <v>505837</v>
      </c>
      <c r="O620" t="s">
        <v>63</v>
      </c>
      <c r="P620">
        <v>3411877449</v>
      </c>
      <c r="Q620" s="5">
        <v>46043.723437499997</v>
      </c>
      <c r="R620" s="2" t="s">
        <v>62</v>
      </c>
      <c r="S620" s="2" t="s">
        <v>51</v>
      </c>
      <c r="T620" s="2" t="s">
        <v>55</v>
      </c>
      <c r="U620" s="2" t="s">
        <v>56</v>
      </c>
      <c r="V620" s="2" t="s">
        <v>57</v>
      </c>
      <c r="W620" s="2" t="s">
        <v>58</v>
      </c>
      <c r="X620" s="2" t="s">
        <v>59</v>
      </c>
      <c r="Y620" s="1">
        <v>1152.03</v>
      </c>
      <c r="Z620" s="1">
        <v>1213.98</v>
      </c>
      <c r="AA620" s="1">
        <v>0</v>
      </c>
      <c r="AB620" s="1">
        <v>29.99</v>
      </c>
      <c r="AC620" s="1">
        <v>0</v>
      </c>
      <c r="AD620" s="1">
        <v>152.76824999999999</v>
      </c>
      <c r="AE620" s="1">
        <v>1182.02</v>
      </c>
      <c r="AG620" s="1">
        <v>0</v>
      </c>
      <c r="AH620" s="1">
        <v>61.95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1010.55263</v>
      </c>
      <c r="AR620" s="1">
        <v>1010.55263</v>
      </c>
      <c r="AS620" s="1">
        <v>252.63816</v>
      </c>
      <c r="AT620" s="1">
        <v>35.369342400000001</v>
      </c>
      <c r="AU620" s="1">
        <v>29.99</v>
      </c>
      <c r="AV620" s="2" t="s">
        <v>60</v>
      </c>
      <c r="AW620" s="1">
        <v>834.03200000000004</v>
      </c>
      <c r="AX620" s="1">
        <f>Table1[[#This Row],[Original Commissionable GMV]]-Table1[[#This Row],[Commission ]]-Table1[[#This Row],[Commission VAT]]-Table1[[#This Row],[FreeDeliveryFund]]</f>
        <v>692.55512759999999</v>
      </c>
      <c r="AY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M620" s="2"/>
    </row>
    <row r="621" spans="12:65" x14ac:dyDescent="0.25">
      <c r="L621" s="2">
        <v>504016</v>
      </c>
      <c r="M621" s="2" t="s">
        <v>52</v>
      </c>
      <c r="N621" s="2">
        <v>505837</v>
      </c>
      <c r="O621" t="s">
        <v>63</v>
      </c>
      <c r="P621">
        <v>3411890090</v>
      </c>
      <c r="Q621" s="5">
        <v>46043.727280092593</v>
      </c>
      <c r="R621" s="2" t="s">
        <v>54</v>
      </c>
      <c r="S621" s="2" t="s">
        <v>51</v>
      </c>
      <c r="T621" s="2" t="s">
        <v>55</v>
      </c>
      <c r="U621" s="2" t="s">
        <v>56</v>
      </c>
      <c r="V621" s="2" t="s">
        <v>57</v>
      </c>
      <c r="W621" s="2" t="s">
        <v>58</v>
      </c>
      <c r="X621" s="2" t="s">
        <v>59</v>
      </c>
      <c r="Y621" s="1">
        <v>542.99</v>
      </c>
      <c r="Z621" s="1">
        <v>542.99</v>
      </c>
      <c r="AA621" s="1">
        <v>35.99</v>
      </c>
      <c r="AB621" s="1">
        <v>27.15</v>
      </c>
      <c r="AC621" s="1">
        <v>0</v>
      </c>
      <c r="AD621" s="1">
        <v>74.437020000000004</v>
      </c>
      <c r="AE621" s="1">
        <v>606.13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9.5023250000000008</v>
      </c>
      <c r="AP621" s="1">
        <v>1.3303255</v>
      </c>
      <c r="AQ621" s="1">
        <v>476.30702000000002</v>
      </c>
      <c r="AR621" s="1">
        <v>476.30702000000002</v>
      </c>
      <c r="AS621" s="1">
        <v>119.07675999999999</v>
      </c>
      <c r="AT621" s="1">
        <v>16.670746399999999</v>
      </c>
      <c r="AU621" s="1">
        <v>0</v>
      </c>
      <c r="AV621" s="2" t="s">
        <v>69</v>
      </c>
      <c r="AW621" s="1">
        <v>396.41</v>
      </c>
      <c r="AX621" s="1">
        <f>Table1[[#This Row],[Original Commissionable GMV]]-Table1[[#This Row],[Commission ]]-Table1[[#This Row],[Commission VAT]]-Table1[[#This Row],[FreeDeliveryFund]]</f>
        <v>340.55951360000006</v>
      </c>
      <c r="AY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M621" s="2"/>
    </row>
    <row r="622" spans="12:65" x14ac:dyDescent="0.25">
      <c r="L622" s="2">
        <v>504016</v>
      </c>
      <c r="M622" s="2" t="s">
        <v>52</v>
      </c>
      <c r="N622" s="2">
        <v>505839</v>
      </c>
      <c r="O622" t="s">
        <v>63</v>
      </c>
      <c r="P622">
        <v>3411964925</v>
      </c>
      <c r="Q622" s="5">
        <v>46043.749664351853</v>
      </c>
      <c r="R622" s="2" t="s">
        <v>54</v>
      </c>
      <c r="S622" s="2" t="s">
        <v>51</v>
      </c>
      <c r="T622" s="2" t="s">
        <v>55</v>
      </c>
      <c r="U622" s="2" t="s">
        <v>56</v>
      </c>
      <c r="V622" s="2" t="s">
        <v>57</v>
      </c>
      <c r="W622" s="2" t="s">
        <v>58</v>
      </c>
      <c r="X622" s="2" t="s">
        <v>59</v>
      </c>
      <c r="Y622" s="1">
        <v>769.99</v>
      </c>
      <c r="Z622" s="1">
        <v>769.99</v>
      </c>
      <c r="AA622" s="1">
        <v>0</v>
      </c>
      <c r="AB622" s="1">
        <v>29.99</v>
      </c>
      <c r="AC622" s="1">
        <v>0</v>
      </c>
      <c r="AD622" s="1">
        <v>98.243160000000003</v>
      </c>
      <c r="AE622" s="1">
        <v>799.98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13.474824999999999</v>
      </c>
      <c r="AP622" s="1">
        <v>1.8864755</v>
      </c>
      <c r="AQ622" s="1">
        <v>675.42981999999995</v>
      </c>
      <c r="AR622" s="1">
        <v>675.42981999999995</v>
      </c>
      <c r="AS622" s="1">
        <v>168.85746</v>
      </c>
      <c r="AT622" s="1">
        <v>23.640044400000001</v>
      </c>
      <c r="AU622" s="1">
        <v>29.99</v>
      </c>
      <c r="AV622" s="2" t="s">
        <v>60</v>
      </c>
      <c r="AW622" s="1">
        <v>532.14099999999996</v>
      </c>
      <c r="AX622" s="1">
        <f>Table1[[#This Row],[Original Commissionable GMV]]-Table1[[#This Row],[Commission ]]-Table1[[#This Row],[Commission VAT]]-Table1[[#This Row],[FreeDeliveryFund]]</f>
        <v>452.94231559999992</v>
      </c>
      <c r="AY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M622" s="2"/>
    </row>
    <row r="623" spans="12:65" x14ac:dyDescent="0.25">
      <c r="L623" s="2">
        <v>504016</v>
      </c>
      <c r="M623" s="2" t="s">
        <v>52</v>
      </c>
      <c r="N623" s="2">
        <v>505839</v>
      </c>
      <c r="O623" t="s">
        <v>53</v>
      </c>
      <c r="P623">
        <v>3412036290</v>
      </c>
      <c r="Q623" s="5">
        <v>46043.770243055558</v>
      </c>
      <c r="R623" s="2" t="s">
        <v>54</v>
      </c>
      <c r="S623" s="2" t="s">
        <v>51</v>
      </c>
      <c r="T623" s="2" t="s">
        <v>55</v>
      </c>
      <c r="U623" s="2" t="s">
        <v>59</v>
      </c>
      <c r="V623" s="2" t="s">
        <v>57</v>
      </c>
      <c r="W623" s="2" t="s">
        <v>58</v>
      </c>
      <c r="X623" s="2" t="s">
        <v>59</v>
      </c>
      <c r="Y623" s="1">
        <v>767.99</v>
      </c>
      <c r="Z623" s="1">
        <v>767.99</v>
      </c>
      <c r="AA623" s="1">
        <v>0</v>
      </c>
      <c r="AB623" s="1">
        <v>29.99</v>
      </c>
      <c r="AC623" s="1">
        <v>0</v>
      </c>
      <c r="AD623" s="1">
        <v>97.997540000000001</v>
      </c>
      <c r="AE623" s="1">
        <v>797.98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13.439825000000001</v>
      </c>
      <c r="AP623" s="1">
        <v>1.8815755000000001</v>
      </c>
      <c r="AQ623" s="1">
        <v>673.67543999999998</v>
      </c>
      <c r="AR623" s="1">
        <v>673.67543999999998</v>
      </c>
      <c r="AS623" s="1">
        <v>168.41886</v>
      </c>
      <c r="AT623" s="1">
        <v>23.578640400000001</v>
      </c>
      <c r="AU623" s="1">
        <v>32.99</v>
      </c>
      <c r="AV623" s="2" t="s">
        <v>60</v>
      </c>
      <c r="AW623" s="1">
        <v>527.68100000000004</v>
      </c>
      <c r="AX623" s="1">
        <f>Table1[[#This Row],[Original Commissionable GMV]]-Table1[[#This Row],[Commission ]]-Table1[[#This Row],[Commission VAT]]-Table1[[#This Row],[FreeDeliveryFund]]</f>
        <v>448.68793959999999</v>
      </c>
      <c r="AY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M623" s="2"/>
    </row>
    <row r="624" spans="12:65" x14ac:dyDescent="0.25">
      <c r="L624" s="2">
        <v>504016</v>
      </c>
      <c r="M624" s="2" t="s">
        <v>52</v>
      </c>
      <c r="N624" s="2">
        <v>505837</v>
      </c>
      <c r="O624" t="s">
        <v>63</v>
      </c>
      <c r="P624">
        <v>3412091811</v>
      </c>
      <c r="Q624" s="5">
        <v>46043.786377314813</v>
      </c>
      <c r="R624" s="2" t="s">
        <v>54</v>
      </c>
      <c r="S624" s="2" t="s">
        <v>51</v>
      </c>
      <c r="T624" s="2" t="s">
        <v>55</v>
      </c>
      <c r="U624" s="2" t="s">
        <v>56</v>
      </c>
      <c r="V624" s="2" t="s">
        <v>57</v>
      </c>
      <c r="W624" s="2" t="s">
        <v>58</v>
      </c>
      <c r="X624" s="2" t="s">
        <v>59</v>
      </c>
      <c r="Y624" s="1">
        <v>471.57</v>
      </c>
      <c r="Z624" s="1">
        <v>471.57</v>
      </c>
      <c r="AA624" s="1">
        <v>7</v>
      </c>
      <c r="AB624" s="1">
        <v>23.58</v>
      </c>
      <c r="AC624" s="1">
        <v>0</v>
      </c>
      <c r="AD624" s="1">
        <v>61.667540000000002</v>
      </c>
      <c r="AE624" s="1">
        <v>502.15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8.2524750000000004</v>
      </c>
      <c r="AP624" s="1">
        <v>1.1553465000000001</v>
      </c>
      <c r="AQ624" s="1">
        <v>413.65789000000001</v>
      </c>
      <c r="AR624" s="1">
        <v>413.65789000000001</v>
      </c>
      <c r="AS624" s="1">
        <v>103.41446999999999</v>
      </c>
      <c r="AT624" s="1">
        <v>14.478025799999999</v>
      </c>
      <c r="AU624" s="1">
        <v>29.99</v>
      </c>
      <c r="AV624" s="2" t="s">
        <v>60</v>
      </c>
      <c r="AW624" s="1">
        <v>314.27999999999997</v>
      </c>
      <c r="AX624" s="1">
        <f>Table1[[#This Row],[Original Commissionable GMV]]-Table1[[#This Row],[Commission ]]-Table1[[#This Row],[Commission VAT]]-Table1[[#This Row],[FreeDeliveryFund]]</f>
        <v>265.77539419999999</v>
      </c>
      <c r="AY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M624" s="2"/>
    </row>
    <row r="625" spans="12:65" x14ac:dyDescent="0.25">
      <c r="L625" s="2">
        <v>504016</v>
      </c>
      <c r="M625" s="2" t="s">
        <v>52</v>
      </c>
      <c r="N625" s="2">
        <v>505839</v>
      </c>
      <c r="O625" t="s">
        <v>65</v>
      </c>
      <c r="P625">
        <v>3412116165</v>
      </c>
      <c r="Q625" s="5">
        <v>46043.793541666666</v>
      </c>
      <c r="R625" s="2" t="s">
        <v>54</v>
      </c>
      <c r="S625" s="2" t="s">
        <v>51</v>
      </c>
      <c r="T625" s="2" t="s">
        <v>55</v>
      </c>
      <c r="U625" s="2" t="s">
        <v>59</v>
      </c>
      <c r="V625" s="2" t="s">
        <v>57</v>
      </c>
      <c r="W625" s="2" t="s">
        <v>58</v>
      </c>
      <c r="X625" s="2" t="s">
        <v>59</v>
      </c>
      <c r="Y625" s="1">
        <v>319.26</v>
      </c>
      <c r="Z625" s="1">
        <v>319.26</v>
      </c>
      <c r="AA625" s="1">
        <v>0</v>
      </c>
      <c r="AB625" s="1">
        <v>15.96</v>
      </c>
      <c r="AC625" s="1">
        <v>0</v>
      </c>
      <c r="AD625" s="1">
        <v>41.167369999999998</v>
      </c>
      <c r="AE625" s="1">
        <v>335.22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5.5870499999999996</v>
      </c>
      <c r="AP625" s="1">
        <v>0.78218699999999997</v>
      </c>
      <c r="AQ625" s="1">
        <v>280.05263000000002</v>
      </c>
      <c r="AR625" s="1">
        <v>280.05263000000002</v>
      </c>
      <c r="AS625" s="1">
        <v>70.013159999999999</v>
      </c>
      <c r="AT625" s="1">
        <v>9.8018424</v>
      </c>
      <c r="AU625" s="1">
        <v>28.99</v>
      </c>
      <c r="AV625" s="2" t="s">
        <v>60</v>
      </c>
      <c r="AW625" s="1">
        <v>204.08600000000001</v>
      </c>
      <c r="AX625" s="1">
        <f>Table1[[#This Row],[Original Commissionable GMV]]-Table1[[#This Row],[Commission ]]-Table1[[#This Row],[Commission VAT]]-Table1[[#This Row],[FreeDeliveryFund]]</f>
        <v>171.24762760000002</v>
      </c>
      <c r="AY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M625" s="2"/>
    </row>
    <row r="626" spans="12:65" x14ac:dyDescent="0.25">
      <c r="L626" s="2">
        <v>504016</v>
      </c>
      <c r="M626" s="2" t="s">
        <v>52</v>
      </c>
      <c r="N626" s="2">
        <v>505839</v>
      </c>
      <c r="O626" t="s">
        <v>63</v>
      </c>
      <c r="P626">
        <v>3412116720</v>
      </c>
      <c r="Q626" s="5">
        <v>46043.793703703705</v>
      </c>
      <c r="R626" s="2" t="s">
        <v>54</v>
      </c>
      <c r="S626" s="2" t="s">
        <v>51</v>
      </c>
      <c r="T626" s="2" t="s">
        <v>55</v>
      </c>
      <c r="U626" s="2" t="s">
        <v>56</v>
      </c>
      <c r="V626" s="2" t="s">
        <v>57</v>
      </c>
      <c r="W626" s="2" t="s">
        <v>58</v>
      </c>
      <c r="X626" s="2" t="s">
        <v>59</v>
      </c>
      <c r="Y626" s="1">
        <v>563.97</v>
      </c>
      <c r="Z626" s="1">
        <v>599.97</v>
      </c>
      <c r="AA626" s="1">
        <v>0</v>
      </c>
      <c r="AB626" s="1">
        <v>29.99</v>
      </c>
      <c r="AC626" s="1">
        <v>0</v>
      </c>
      <c r="AD626" s="1">
        <v>77.363510000000005</v>
      </c>
      <c r="AE626" s="1">
        <v>593.96</v>
      </c>
      <c r="AG626" s="1">
        <v>0</v>
      </c>
      <c r="AH626" s="1">
        <v>36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9.8694749999999996</v>
      </c>
      <c r="AP626" s="1">
        <v>1.3817265000000001</v>
      </c>
      <c r="AQ626" s="1">
        <v>494.71053000000001</v>
      </c>
      <c r="AR626" s="1">
        <v>494.71053000000001</v>
      </c>
      <c r="AS626" s="1">
        <v>123.67762999999999</v>
      </c>
      <c r="AT626" s="1">
        <v>17.314868199999999</v>
      </c>
      <c r="AU626" s="1">
        <v>28.99</v>
      </c>
      <c r="AV626" s="2" t="s">
        <v>60</v>
      </c>
      <c r="AW626" s="1">
        <v>382.73599999999999</v>
      </c>
      <c r="AX626" s="1">
        <f>Table1[[#This Row],[Original Commissionable GMV]]-Table1[[#This Row],[Commission ]]-Table1[[#This Row],[Commission VAT]]-Table1[[#This Row],[FreeDeliveryFund]]</f>
        <v>324.72803180000005</v>
      </c>
      <c r="AY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M626" s="2"/>
    </row>
    <row r="627" spans="12:65" x14ac:dyDescent="0.25">
      <c r="L627" s="2">
        <v>504016</v>
      </c>
      <c r="M627" s="2" t="s">
        <v>52</v>
      </c>
      <c r="N627" s="2">
        <v>505839</v>
      </c>
      <c r="O627" t="s">
        <v>53</v>
      </c>
      <c r="P627">
        <v>3412164302</v>
      </c>
      <c r="Q627" s="5">
        <v>46043.807581018518</v>
      </c>
      <c r="R627" s="2" t="s">
        <v>54</v>
      </c>
      <c r="S627" s="2" t="s">
        <v>51</v>
      </c>
      <c r="T627" s="2" t="s">
        <v>55</v>
      </c>
      <c r="U627" s="2" t="s">
        <v>59</v>
      </c>
      <c r="V627" s="2" t="s">
        <v>57</v>
      </c>
      <c r="W627" s="2" t="s">
        <v>58</v>
      </c>
      <c r="X627" s="2" t="s">
        <v>59</v>
      </c>
      <c r="Y627" s="1">
        <v>480.99</v>
      </c>
      <c r="Z627" s="1">
        <v>480.99</v>
      </c>
      <c r="AA627" s="1">
        <v>31.99</v>
      </c>
      <c r="AB627" s="1">
        <v>24.05</v>
      </c>
      <c r="AC627" s="1">
        <v>0</v>
      </c>
      <c r="AD627" s="1">
        <v>65.951049999999995</v>
      </c>
      <c r="AE627" s="1">
        <v>537.03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66.900000000000006</v>
      </c>
      <c r="AM627" s="1">
        <v>0</v>
      </c>
      <c r="AN627" s="1">
        <v>0</v>
      </c>
      <c r="AO627" s="1">
        <v>8.4173249999999999</v>
      </c>
      <c r="AP627" s="1">
        <v>1.1784254999999999</v>
      </c>
      <c r="AQ627" s="1">
        <v>421.92104999999998</v>
      </c>
      <c r="AR627" s="1">
        <v>421.92104999999998</v>
      </c>
      <c r="AS627" s="1">
        <v>105.48026</v>
      </c>
      <c r="AT627" s="1">
        <v>14.7672364</v>
      </c>
      <c r="AU627" s="1">
        <v>0</v>
      </c>
      <c r="AV627" s="2" t="s">
        <v>69</v>
      </c>
      <c r="AW627" s="1">
        <v>351.14699999999999</v>
      </c>
      <c r="AX627" s="1">
        <f>Table1[[#This Row],[Original Commissionable GMV]]-Table1[[#This Row],[Commission ]]-Table1[[#This Row],[Commission VAT]]-Table1[[#This Row],[FreeDeliveryFund]]</f>
        <v>301.67355359999999</v>
      </c>
      <c r="AY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M627" s="2"/>
    </row>
    <row r="628" spans="12:65" x14ac:dyDescent="0.25">
      <c r="L628" s="2">
        <v>504016</v>
      </c>
      <c r="M628" s="2" t="s">
        <v>52</v>
      </c>
      <c r="N628" s="2">
        <v>505839</v>
      </c>
      <c r="O628" t="s">
        <v>53</v>
      </c>
      <c r="P628">
        <v>3412216695</v>
      </c>
      <c r="Q628" s="5">
        <v>46043.823518518519</v>
      </c>
      <c r="R628" s="2" t="s">
        <v>54</v>
      </c>
      <c r="S628" s="2" t="s">
        <v>51</v>
      </c>
      <c r="T628" s="2" t="s">
        <v>55</v>
      </c>
      <c r="U628" s="2" t="s">
        <v>56</v>
      </c>
      <c r="V628" s="2" t="s">
        <v>57</v>
      </c>
      <c r="W628" s="2" t="s">
        <v>58</v>
      </c>
      <c r="X628" s="2" t="s">
        <v>59</v>
      </c>
      <c r="Y628" s="1">
        <v>999.97</v>
      </c>
      <c r="Z628" s="1">
        <v>999.97</v>
      </c>
      <c r="AA628" s="1">
        <v>32.99</v>
      </c>
      <c r="AB628" s="1">
        <v>29.99</v>
      </c>
      <c r="AC628" s="1">
        <v>0</v>
      </c>
      <c r="AD628" s="1">
        <v>130.53772000000001</v>
      </c>
      <c r="AE628" s="1">
        <v>1062.95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17.499475</v>
      </c>
      <c r="AP628" s="1">
        <v>2.4499265000000001</v>
      </c>
      <c r="AQ628" s="1">
        <v>877.16666999999995</v>
      </c>
      <c r="AR628" s="1">
        <v>877.16666999999995</v>
      </c>
      <c r="AS628" s="1">
        <v>219.29167000000001</v>
      </c>
      <c r="AT628" s="1">
        <v>30.700833800000002</v>
      </c>
      <c r="AU628" s="1">
        <v>0</v>
      </c>
      <c r="AV628" s="2" t="s">
        <v>69</v>
      </c>
      <c r="AW628" s="1">
        <v>730.02800000000002</v>
      </c>
      <c r="AX628" s="1">
        <f>Table1[[#This Row],[Original Commissionable GMV]]-Table1[[#This Row],[Commission ]]-Table1[[#This Row],[Commission VAT]]-Table1[[#This Row],[FreeDeliveryFund]]</f>
        <v>627.17416619999995</v>
      </c>
      <c r="AY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M628" s="2"/>
    </row>
    <row r="629" spans="12:65" x14ac:dyDescent="0.25">
      <c r="L629" s="2">
        <v>504016</v>
      </c>
      <c r="M629" s="2" t="s">
        <v>52</v>
      </c>
      <c r="N629" s="2">
        <v>505839</v>
      </c>
      <c r="O629" t="s">
        <v>63</v>
      </c>
      <c r="P629">
        <v>3412229397</v>
      </c>
      <c r="Q629" s="5">
        <v>46043.827407407407</v>
      </c>
      <c r="R629" s="2" t="s">
        <v>54</v>
      </c>
      <c r="S629" s="2" t="s">
        <v>51</v>
      </c>
      <c r="T629" s="2" t="s">
        <v>55</v>
      </c>
      <c r="U629" s="2" t="s">
        <v>56</v>
      </c>
      <c r="V629" s="2" t="s">
        <v>57</v>
      </c>
      <c r="W629" s="2" t="s">
        <v>58</v>
      </c>
      <c r="X629" s="2" t="s">
        <v>59</v>
      </c>
      <c r="Y629" s="1">
        <v>368.68</v>
      </c>
      <c r="Z629" s="1">
        <v>368.68</v>
      </c>
      <c r="AA629" s="1">
        <v>0</v>
      </c>
      <c r="AB629" s="1">
        <v>18.43</v>
      </c>
      <c r="AC629" s="1">
        <v>0</v>
      </c>
      <c r="AD629" s="1">
        <v>47.539819999999999</v>
      </c>
      <c r="AE629" s="1">
        <v>387.11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6.4519000000000002</v>
      </c>
      <c r="AP629" s="1">
        <v>0.90326600000000001</v>
      </c>
      <c r="AQ629" s="1">
        <v>323.40350999999998</v>
      </c>
      <c r="AR629" s="1">
        <v>323.40350999999998</v>
      </c>
      <c r="AS629" s="1">
        <v>80.850880000000004</v>
      </c>
      <c r="AT629" s="1">
        <v>11.3191232</v>
      </c>
      <c r="AU629" s="1">
        <v>28.99</v>
      </c>
      <c r="AV629" s="2" t="s">
        <v>60</v>
      </c>
      <c r="AW629" s="1">
        <v>240.16499999999999</v>
      </c>
      <c r="AX629" s="1">
        <f>Table1[[#This Row],[Original Commissionable GMV]]-Table1[[#This Row],[Commission ]]-Table1[[#This Row],[Commission VAT]]-Table1[[#This Row],[FreeDeliveryFund]]</f>
        <v>202.24350679999995</v>
      </c>
      <c r="AY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M629" s="2"/>
    </row>
    <row r="630" spans="12:65" x14ac:dyDescent="0.25">
      <c r="L630" s="2">
        <v>504016</v>
      </c>
      <c r="M630" s="2" t="s">
        <v>52</v>
      </c>
      <c r="N630" s="2">
        <v>505837</v>
      </c>
      <c r="O630" t="s">
        <v>53</v>
      </c>
      <c r="P630">
        <v>3412232481</v>
      </c>
      <c r="Q630" s="5">
        <v>46043.828402777777</v>
      </c>
      <c r="R630" s="2" t="s">
        <v>54</v>
      </c>
      <c r="S630" s="2" t="s">
        <v>51</v>
      </c>
      <c r="T630" s="2" t="s">
        <v>55</v>
      </c>
      <c r="U630" s="2" t="s">
        <v>56</v>
      </c>
      <c r="V630" s="2" t="s">
        <v>57</v>
      </c>
      <c r="W630" s="2" t="s">
        <v>58</v>
      </c>
      <c r="X630" s="2" t="s">
        <v>59</v>
      </c>
      <c r="Y630" s="1">
        <v>596.85</v>
      </c>
      <c r="Z630" s="1">
        <v>596.85</v>
      </c>
      <c r="AA630" s="1">
        <v>9</v>
      </c>
      <c r="AB630" s="1">
        <v>29.84</v>
      </c>
      <c r="AC630" s="1">
        <v>0</v>
      </c>
      <c r="AD630" s="1">
        <v>78.067189999999997</v>
      </c>
      <c r="AE630" s="1">
        <v>635.69000000000005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30</v>
      </c>
      <c r="AN630" s="1">
        <v>4.2</v>
      </c>
      <c r="AO630" s="1">
        <v>10.444875</v>
      </c>
      <c r="AP630" s="1">
        <v>1.4622824999999999</v>
      </c>
      <c r="AQ630" s="1">
        <v>523.55263000000002</v>
      </c>
      <c r="AR630" s="1">
        <v>523.55263000000002</v>
      </c>
      <c r="AS630" s="1">
        <v>130.88816</v>
      </c>
      <c r="AT630" s="1">
        <v>18.324342399999999</v>
      </c>
      <c r="AU630" s="1">
        <v>34.99</v>
      </c>
      <c r="AV630" s="2" t="s">
        <v>60</v>
      </c>
      <c r="AW630" s="1">
        <v>366.54</v>
      </c>
      <c r="AX630" s="1">
        <f>Table1[[#This Row],[Original Commissionable GMV]]-Table1[[#This Row],[Commission ]]-Table1[[#This Row],[Commission VAT]]-Table1[[#This Row],[FreeDeliveryFund]]</f>
        <v>339.35012760000006</v>
      </c>
      <c r="AY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M630" s="2"/>
    </row>
    <row r="631" spans="12:65" x14ac:dyDescent="0.25">
      <c r="L631" s="2">
        <v>504016</v>
      </c>
      <c r="M631" s="2" t="s">
        <v>52</v>
      </c>
      <c r="N631" s="2">
        <v>505839</v>
      </c>
      <c r="O631" t="s">
        <v>53</v>
      </c>
      <c r="P631">
        <v>3412269316</v>
      </c>
      <c r="Q631" s="5">
        <v>46043.840046296296</v>
      </c>
      <c r="R631" s="2" t="s">
        <v>54</v>
      </c>
      <c r="S631" s="2" t="s">
        <v>51</v>
      </c>
      <c r="T631" s="2" t="s">
        <v>55</v>
      </c>
      <c r="U631" s="2" t="s">
        <v>59</v>
      </c>
      <c r="V631" s="2" t="s">
        <v>57</v>
      </c>
      <c r="W631" s="2" t="s">
        <v>58</v>
      </c>
      <c r="X631" s="2" t="s">
        <v>59</v>
      </c>
      <c r="Y631" s="1">
        <v>296.58</v>
      </c>
      <c r="Z631" s="1">
        <v>296.58</v>
      </c>
      <c r="AA631" s="1">
        <v>0</v>
      </c>
      <c r="AB631" s="1">
        <v>14.83</v>
      </c>
      <c r="AC631" s="1">
        <v>0</v>
      </c>
      <c r="AD631" s="1">
        <v>38.24333</v>
      </c>
      <c r="AE631" s="1">
        <v>311.41000000000003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5.19015</v>
      </c>
      <c r="AP631" s="1">
        <v>0.72662099999999996</v>
      </c>
      <c r="AQ631" s="1">
        <v>260.15789000000001</v>
      </c>
      <c r="AR631" s="1">
        <v>260.15789000000001</v>
      </c>
      <c r="AS631" s="1">
        <v>65.039469999999994</v>
      </c>
      <c r="AT631" s="1">
        <v>9.1055258000000006</v>
      </c>
      <c r="AU631" s="1">
        <v>33.99</v>
      </c>
      <c r="AV631" s="2" t="s">
        <v>60</v>
      </c>
      <c r="AW631" s="1">
        <v>182.52799999999999</v>
      </c>
      <c r="AX631" s="1">
        <f>Table1[[#This Row],[Original Commissionable GMV]]-Table1[[#This Row],[Commission ]]-Table1[[#This Row],[Commission VAT]]-Table1[[#This Row],[FreeDeliveryFund]]</f>
        <v>152.0228942</v>
      </c>
      <c r="AY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M631" s="2"/>
    </row>
    <row r="632" spans="12:65" x14ac:dyDescent="0.25">
      <c r="L632" s="2">
        <v>504016</v>
      </c>
      <c r="M632" s="2" t="s">
        <v>52</v>
      </c>
      <c r="N632" s="2">
        <v>505837</v>
      </c>
      <c r="O632" t="s">
        <v>53</v>
      </c>
      <c r="P632">
        <v>3412319263</v>
      </c>
      <c r="Q632" s="5">
        <v>46043.856412037036</v>
      </c>
      <c r="R632" s="2" t="s">
        <v>54</v>
      </c>
      <c r="S632" s="2" t="s">
        <v>51</v>
      </c>
      <c r="T632" s="2" t="s">
        <v>55</v>
      </c>
      <c r="U632" s="2" t="s">
        <v>56</v>
      </c>
      <c r="V632" s="2" t="s">
        <v>57</v>
      </c>
      <c r="W632" s="2" t="s">
        <v>58</v>
      </c>
      <c r="X632" s="2" t="s">
        <v>59</v>
      </c>
      <c r="Y632" s="1">
        <v>264.99</v>
      </c>
      <c r="Z632" s="1">
        <v>264.99</v>
      </c>
      <c r="AA632" s="1">
        <v>0</v>
      </c>
      <c r="AB632" s="1">
        <v>13.25</v>
      </c>
      <c r="AC632" s="1">
        <v>0</v>
      </c>
      <c r="AD632" s="1">
        <v>34.169820000000001</v>
      </c>
      <c r="AE632" s="1">
        <v>278.24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4.6373249999999997</v>
      </c>
      <c r="AP632" s="1">
        <v>0.64922550000000001</v>
      </c>
      <c r="AQ632" s="1">
        <v>232.44737000000001</v>
      </c>
      <c r="AR632" s="1">
        <v>232.44737000000001</v>
      </c>
      <c r="AS632" s="1">
        <v>58.111840000000001</v>
      </c>
      <c r="AT632" s="1">
        <v>8.1356576</v>
      </c>
      <c r="AU632" s="1">
        <v>31.99</v>
      </c>
      <c r="AV632" s="2" t="s">
        <v>60</v>
      </c>
      <c r="AW632" s="1">
        <v>161.46600000000001</v>
      </c>
      <c r="AX632" s="1">
        <f>Table1[[#This Row],[Original Commissionable GMV]]-Table1[[#This Row],[Commission ]]-Table1[[#This Row],[Commission VAT]]-Table1[[#This Row],[FreeDeliveryFund]]</f>
        <v>134.20987239999999</v>
      </c>
      <c r="AY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M632" s="2"/>
    </row>
    <row r="633" spans="12:65" x14ac:dyDescent="0.25">
      <c r="L633" s="2">
        <v>504016</v>
      </c>
      <c r="M633" s="2" t="s">
        <v>52</v>
      </c>
      <c r="N633" s="2">
        <v>505837</v>
      </c>
      <c r="O633" t="s">
        <v>63</v>
      </c>
      <c r="P633">
        <v>3412319943</v>
      </c>
      <c r="Q633" s="5">
        <v>46043.85664351852</v>
      </c>
      <c r="R633" s="2" t="s">
        <v>54</v>
      </c>
      <c r="S633" s="2" t="s">
        <v>51</v>
      </c>
      <c r="T633" s="2" t="s">
        <v>55</v>
      </c>
      <c r="U633" s="2" t="s">
        <v>59</v>
      </c>
      <c r="V633" s="2" t="s">
        <v>57</v>
      </c>
      <c r="W633" s="2" t="s">
        <v>58</v>
      </c>
      <c r="X633" s="2" t="s">
        <v>59</v>
      </c>
      <c r="Y633" s="1">
        <v>430</v>
      </c>
      <c r="Z633" s="1">
        <v>430</v>
      </c>
      <c r="AA633" s="1">
        <v>26.99</v>
      </c>
      <c r="AB633" s="1">
        <v>21.5</v>
      </c>
      <c r="AC633" s="1">
        <v>0</v>
      </c>
      <c r="AD633" s="1">
        <v>58.76193</v>
      </c>
      <c r="AE633" s="1">
        <v>478.49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7.5250000000000004</v>
      </c>
      <c r="AP633" s="1">
        <v>1.0535000000000001</v>
      </c>
      <c r="AQ633" s="1">
        <v>377.19297999999998</v>
      </c>
      <c r="AR633" s="1">
        <v>377.19297999999998</v>
      </c>
      <c r="AS633" s="1">
        <v>94.298249999999996</v>
      </c>
      <c r="AT633" s="1">
        <v>13.201755</v>
      </c>
      <c r="AU633" s="1">
        <v>0</v>
      </c>
      <c r="AV633" s="2" t="s">
        <v>69</v>
      </c>
      <c r="AW633" s="1">
        <v>313.92099999999999</v>
      </c>
      <c r="AX633" s="1">
        <f>Table1[[#This Row],[Original Commissionable GMV]]-Table1[[#This Row],[Commission ]]-Table1[[#This Row],[Commission VAT]]-Table1[[#This Row],[FreeDeliveryFund]]</f>
        <v>269.69297499999999</v>
      </c>
      <c r="AY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M633" s="2"/>
    </row>
    <row r="634" spans="12:65" x14ac:dyDescent="0.25">
      <c r="L634" s="2">
        <v>504016</v>
      </c>
      <c r="M634" s="2" t="s">
        <v>52</v>
      </c>
      <c r="N634" s="2">
        <v>505837</v>
      </c>
      <c r="O634" t="s">
        <v>53</v>
      </c>
      <c r="P634">
        <v>3412325933</v>
      </c>
      <c r="Q634" s="5">
        <v>46043.858657407407</v>
      </c>
      <c r="R634" s="2" t="s">
        <v>54</v>
      </c>
      <c r="S634" s="2" t="s">
        <v>51</v>
      </c>
      <c r="T634" s="2" t="s">
        <v>55</v>
      </c>
      <c r="U634" s="2" t="s">
        <v>59</v>
      </c>
      <c r="V634" s="2" t="s">
        <v>57</v>
      </c>
      <c r="W634" s="2" t="s">
        <v>58</v>
      </c>
      <c r="X634" s="2" t="s">
        <v>59</v>
      </c>
      <c r="Y634" s="1">
        <v>639.99</v>
      </c>
      <c r="Z634" s="1">
        <v>639.99</v>
      </c>
      <c r="AA634" s="1">
        <v>31.99</v>
      </c>
      <c r="AB634" s="1">
        <v>29.99</v>
      </c>
      <c r="AC634" s="1">
        <v>0</v>
      </c>
      <c r="AD634" s="1">
        <v>86.20684</v>
      </c>
      <c r="AE634" s="1">
        <v>701.97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11.199825000000001</v>
      </c>
      <c r="AP634" s="1">
        <v>1.5679755</v>
      </c>
      <c r="AQ634" s="1">
        <v>561.39473999999996</v>
      </c>
      <c r="AR634" s="1">
        <v>561.39473999999996</v>
      </c>
      <c r="AS634" s="1">
        <v>140.34869</v>
      </c>
      <c r="AT634" s="1">
        <v>19.6488166</v>
      </c>
      <c r="AU634" s="1">
        <v>0</v>
      </c>
      <c r="AV634" s="2" t="s">
        <v>69</v>
      </c>
      <c r="AW634" s="1">
        <v>467.22500000000002</v>
      </c>
      <c r="AX634" s="1">
        <f>Table1[[#This Row],[Original Commissionable GMV]]-Table1[[#This Row],[Commission ]]-Table1[[#This Row],[Commission VAT]]-Table1[[#This Row],[FreeDeliveryFund]]</f>
        <v>401.39723339999995</v>
      </c>
      <c r="AY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M634" s="2"/>
    </row>
    <row r="635" spans="12:65" x14ac:dyDescent="0.25">
      <c r="L635" s="2">
        <v>504016</v>
      </c>
      <c r="M635" s="2" t="s">
        <v>52</v>
      </c>
      <c r="N635" s="2">
        <v>505837</v>
      </c>
      <c r="O635" t="s">
        <v>65</v>
      </c>
      <c r="P635">
        <v>3412400995</v>
      </c>
      <c r="Q635" s="5">
        <v>46043.885960648149</v>
      </c>
      <c r="R635" s="2" t="s">
        <v>62</v>
      </c>
      <c r="S635" s="2" t="s">
        <v>51</v>
      </c>
      <c r="T635" s="2" t="s">
        <v>55</v>
      </c>
      <c r="U635" s="2" t="s">
        <v>56</v>
      </c>
      <c r="V635" s="2" t="s">
        <v>57</v>
      </c>
      <c r="W635" s="2" t="s">
        <v>58</v>
      </c>
      <c r="X635" s="2" t="s">
        <v>59</v>
      </c>
      <c r="Y635" s="1">
        <v>245.68</v>
      </c>
      <c r="Z635" s="1">
        <v>245.68</v>
      </c>
      <c r="AA635" s="1">
        <v>0</v>
      </c>
      <c r="AB635" s="1">
        <v>12.28</v>
      </c>
      <c r="AC635" s="1">
        <v>0</v>
      </c>
      <c r="AD635" s="1">
        <v>31.679300000000001</v>
      </c>
      <c r="AE635" s="1">
        <v>257.95999999999998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43.8</v>
      </c>
      <c r="AM635" s="1">
        <v>0</v>
      </c>
      <c r="AN635" s="1">
        <v>0</v>
      </c>
      <c r="AO635" s="1">
        <v>0</v>
      </c>
      <c r="AP635" s="1">
        <v>0</v>
      </c>
      <c r="AQ635" s="1">
        <v>215.50877</v>
      </c>
      <c r="AR635" s="1">
        <v>215.50877</v>
      </c>
      <c r="AS635" s="1">
        <v>53.877189999999999</v>
      </c>
      <c r="AT635" s="1">
        <v>7.5428065999999996</v>
      </c>
      <c r="AU635" s="1">
        <v>26.99</v>
      </c>
      <c r="AV635" s="2" t="s">
        <v>60</v>
      </c>
      <c r="AW635" s="1">
        <v>157.27000000000001</v>
      </c>
      <c r="AX635" s="1">
        <f>Table1[[#This Row],[Original Commissionable GMV]]-Table1[[#This Row],[Commission ]]-Table1[[#This Row],[Commission VAT]]-Table1[[#This Row],[FreeDeliveryFund]]</f>
        <v>127.09877339999998</v>
      </c>
      <c r="AY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M635" s="2"/>
    </row>
    <row r="636" spans="12:65" x14ac:dyDescent="0.25">
      <c r="L636" s="2">
        <v>504016</v>
      </c>
      <c r="M636" s="2" t="s">
        <v>52</v>
      </c>
      <c r="N636" s="2">
        <v>505839</v>
      </c>
      <c r="O636" t="s">
        <v>63</v>
      </c>
      <c r="P636">
        <v>3412475681</v>
      </c>
      <c r="Q636" s="5">
        <v>46043.916712962964</v>
      </c>
      <c r="R636" s="2" t="s">
        <v>54</v>
      </c>
      <c r="S636" s="2" t="s">
        <v>51</v>
      </c>
      <c r="T636" s="2" t="s">
        <v>55</v>
      </c>
      <c r="U636" s="2" t="s">
        <v>56</v>
      </c>
      <c r="V636" s="2" t="s">
        <v>57</v>
      </c>
      <c r="W636" s="2" t="s">
        <v>58</v>
      </c>
      <c r="X636" s="2" t="s">
        <v>59</v>
      </c>
      <c r="Y636" s="1">
        <v>352</v>
      </c>
      <c r="Z636" s="1">
        <v>352</v>
      </c>
      <c r="AA636" s="1">
        <v>27.99</v>
      </c>
      <c r="AB636" s="1">
        <v>17.600000000000001</v>
      </c>
      <c r="AC636" s="1">
        <v>0</v>
      </c>
      <c r="AD636" s="1">
        <v>48.826839999999997</v>
      </c>
      <c r="AE636" s="1">
        <v>397.59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6.16</v>
      </c>
      <c r="AP636" s="1">
        <v>0.86240000000000006</v>
      </c>
      <c r="AQ636" s="1">
        <v>308.77193</v>
      </c>
      <c r="AR636" s="1">
        <v>308.77193</v>
      </c>
      <c r="AS636" s="1">
        <v>77.192980000000006</v>
      </c>
      <c r="AT636" s="1">
        <v>10.807017200000001</v>
      </c>
      <c r="AU636" s="1">
        <v>0</v>
      </c>
      <c r="AV636" s="2" t="s">
        <v>69</v>
      </c>
      <c r="AW636" s="1">
        <v>256.97800000000001</v>
      </c>
      <c r="AX636" s="1">
        <f>Table1[[#This Row],[Original Commissionable GMV]]-Table1[[#This Row],[Commission ]]-Table1[[#This Row],[Commission VAT]]-Table1[[#This Row],[FreeDeliveryFund]]</f>
        <v>220.7719328</v>
      </c>
      <c r="AY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M636" s="2"/>
    </row>
    <row r="637" spans="12:65" x14ac:dyDescent="0.25">
      <c r="L637" s="2">
        <v>504016</v>
      </c>
      <c r="M637" s="2" t="s">
        <v>52</v>
      </c>
      <c r="N637" s="2">
        <v>505835</v>
      </c>
      <c r="O637" t="s">
        <v>63</v>
      </c>
      <c r="P637">
        <v>3413191525</v>
      </c>
      <c r="Q637" s="5">
        <v>46044.541203703702</v>
      </c>
      <c r="R637" s="2" t="s">
        <v>62</v>
      </c>
      <c r="S637" s="2" t="s">
        <v>51</v>
      </c>
      <c r="T637" s="2" t="s">
        <v>55</v>
      </c>
      <c r="U637" s="2" t="s">
        <v>59</v>
      </c>
      <c r="V637" s="2" t="s">
        <v>57</v>
      </c>
      <c r="W637" s="2" t="s">
        <v>58</v>
      </c>
      <c r="X637" s="2" t="s">
        <v>59</v>
      </c>
      <c r="Y637" s="1">
        <v>645.29</v>
      </c>
      <c r="Z637" s="1">
        <v>645.29</v>
      </c>
      <c r="AA637" s="1">
        <v>33.99</v>
      </c>
      <c r="AB637" s="1">
        <v>29.99</v>
      </c>
      <c r="AC637" s="1">
        <v>0</v>
      </c>
      <c r="AD637" s="1">
        <v>87.10333</v>
      </c>
      <c r="AE637" s="1">
        <v>709.27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566.04386</v>
      </c>
      <c r="AR637" s="1">
        <v>566.04386</v>
      </c>
      <c r="AS637" s="1">
        <v>141.51096999999999</v>
      </c>
      <c r="AT637" s="1">
        <v>19.811535800000001</v>
      </c>
      <c r="AU637" s="1">
        <v>0</v>
      </c>
      <c r="AV637" s="2" t="s">
        <v>69</v>
      </c>
      <c r="AW637" s="1">
        <v>483.96699999999998</v>
      </c>
      <c r="AX637" s="1">
        <f>Table1[[#This Row],[Original Commissionable GMV]]-Table1[[#This Row],[Commission ]]-Table1[[#This Row],[Commission VAT]]-Table1[[#This Row],[FreeDeliveryFund]]</f>
        <v>404.72135420000001</v>
      </c>
      <c r="AY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M637" s="2"/>
    </row>
    <row r="638" spans="12:65" x14ac:dyDescent="0.25">
      <c r="L638" s="2">
        <v>504016</v>
      </c>
      <c r="M638" s="2" t="s">
        <v>52</v>
      </c>
      <c r="N638" s="2">
        <v>505837</v>
      </c>
      <c r="O638" t="s">
        <v>53</v>
      </c>
      <c r="P638">
        <v>3413373863</v>
      </c>
      <c r="Q638" s="5">
        <v>46044.602222222224</v>
      </c>
      <c r="R638" s="2" t="s">
        <v>54</v>
      </c>
      <c r="S638" s="2" t="s">
        <v>51</v>
      </c>
      <c r="T638" s="2" t="s">
        <v>55</v>
      </c>
      <c r="U638" s="2" t="s">
        <v>59</v>
      </c>
      <c r="V638" s="2" t="s">
        <v>57</v>
      </c>
      <c r="W638" s="2" t="s">
        <v>58</v>
      </c>
      <c r="X638" s="2" t="s">
        <v>59</v>
      </c>
      <c r="Y638" s="1">
        <v>974.97</v>
      </c>
      <c r="Z638" s="1">
        <v>974.97</v>
      </c>
      <c r="AA638" s="1">
        <v>33.99</v>
      </c>
      <c r="AB638" s="1">
        <v>29.99</v>
      </c>
      <c r="AC638" s="1">
        <v>0</v>
      </c>
      <c r="AD638" s="1">
        <v>127.59035</v>
      </c>
      <c r="AE638" s="1">
        <v>1038.95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17.061975</v>
      </c>
      <c r="AP638" s="1">
        <v>2.3886764999999999</v>
      </c>
      <c r="AQ638" s="1">
        <v>855.23684000000003</v>
      </c>
      <c r="AR638" s="1">
        <v>855.23684000000003</v>
      </c>
      <c r="AS638" s="1">
        <v>213.80921000000001</v>
      </c>
      <c r="AT638" s="1">
        <v>29.9332894</v>
      </c>
      <c r="AU638" s="1">
        <v>0</v>
      </c>
      <c r="AV638" s="2" t="s">
        <v>69</v>
      </c>
      <c r="AW638" s="1">
        <v>711.77700000000004</v>
      </c>
      <c r="AX638" s="1">
        <f>Table1[[#This Row],[Original Commissionable GMV]]-Table1[[#This Row],[Commission ]]-Table1[[#This Row],[Commission VAT]]-Table1[[#This Row],[FreeDeliveryFund]]</f>
        <v>611.49434059999999</v>
      </c>
      <c r="AY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M638" s="2"/>
    </row>
    <row r="639" spans="12:65" x14ac:dyDescent="0.25">
      <c r="L639" s="2">
        <v>504016</v>
      </c>
      <c r="M639" s="2" t="s">
        <v>52</v>
      </c>
      <c r="N639" s="2">
        <v>505839</v>
      </c>
      <c r="O639" t="s">
        <v>65</v>
      </c>
      <c r="P639">
        <v>3413395684</v>
      </c>
      <c r="Q639" s="5">
        <v>46044.609953703701</v>
      </c>
      <c r="R639" s="2" t="s">
        <v>62</v>
      </c>
      <c r="S639" s="2" t="s">
        <v>51</v>
      </c>
      <c r="T639" s="2" t="s">
        <v>55</v>
      </c>
      <c r="U639" s="2" t="s">
        <v>59</v>
      </c>
      <c r="V639" s="2" t="s">
        <v>57</v>
      </c>
      <c r="W639" s="2" t="s">
        <v>58</v>
      </c>
      <c r="X639" s="2" t="s">
        <v>59</v>
      </c>
      <c r="Y639" s="1">
        <v>454</v>
      </c>
      <c r="Z639" s="1">
        <v>454</v>
      </c>
      <c r="AA639" s="1">
        <v>27.99</v>
      </c>
      <c r="AB639" s="1">
        <v>22.7</v>
      </c>
      <c r="AC639" s="1">
        <v>0</v>
      </c>
      <c r="AD639" s="1">
        <v>61.979469999999999</v>
      </c>
      <c r="AE639" s="1">
        <v>504.69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398.24561</v>
      </c>
      <c r="AR639" s="1">
        <v>398.24561</v>
      </c>
      <c r="AS639" s="1">
        <v>99.561400000000006</v>
      </c>
      <c r="AT639" s="1">
        <v>13.938596</v>
      </c>
      <c r="AU639" s="1">
        <v>0</v>
      </c>
      <c r="AV639" s="2" t="s">
        <v>69</v>
      </c>
      <c r="AW639" s="1">
        <v>340.5</v>
      </c>
      <c r="AX639" s="1">
        <f>Table1[[#This Row],[Original Commissionable GMV]]-Table1[[#This Row],[Commission ]]-Table1[[#This Row],[Commission VAT]]-Table1[[#This Row],[FreeDeliveryFund]]</f>
        <v>284.74561399999999</v>
      </c>
      <c r="AY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M639" s="2"/>
    </row>
    <row r="640" spans="12:65" x14ac:dyDescent="0.25">
      <c r="L640" s="2">
        <v>504016</v>
      </c>
      <c r="M640" s="2" t="s">
        <v>52</v>
      </c>
      <c r="N640" s="2">
        <v>505839</v>
      </c>
      <c r="O640" t="s">
        <v>53</v>
      </c>
      <c r="P640">
        <v>3413395929</v>
      </c>
      <c r="Q640" s="5">
        <v>46044.610046296293</v>
      </c>
      <c r="R640" s="2" t="s">
        <v>54</v>
      </c>
      <c r="S640" s="2" t="s">
        <v>51</v>
      </c>
      <c r="T640" s="2" t="s">
        <v>55</v>
      </c>
      <c r="U640" s="2" t="s">
        <v>56</v>
      </c>
      <c r="V640" s="2" t="s">
        <v>57</v>
      </c>
      <c r="W640" s="2" t="s">
        <v>58</v>
      </c>
      <c r="X640" s="2" t="s">
        <v>59</v>
      </c>
      <c r="Y640" s="1">
        <v>1537.61</v>
      </c>
      <c r="Z640" s="1">
        <v>1537.61</v>
      </c>
      <c r="AA640" s="1">
        <v>33.99</v>
      </c>
      <c r="AB640" s="1">
        <v>29.99</v>
      </c>
      <c r="AC640" s="1">
        <v>0</v>
      </c>
      <c r="AD640" s="1">
        <v>196.68648999999999</v>
      </c>
      <c r="AE640" s="1">
        <v>1601.59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26.908175</v>
      </c>
      <c r="AP640" s="1">
        <v>3.7671445000000001</v>
      </c>
      <c r="AQ640" s="1">
        <v>1348.7807</v>
      </c>
      <c r="AR640" s="1">
        <v>1348.7807</v>
      </c>
      <c r="AS640" s="1">
        <v>337.19517999999999</v>
      </c>
      <c r="AT640" s="1">
        <v>47.2073252</v>
      </c>
      <c r="AU640" s="1">
        <v>0</v>
      </c>
      <c r="AV640" s="2" t="s">
        <v>69</v>
      </c>
      <c r="AW640" s="1">
        <v>1122.5319999999999</v>
      </c>
      <c r="AX640" s="1">
        <f>Table1[[#This Row],[Original Commissionable GMV]]-Table1[[#This Row],[Commission ]]-Table1[[#This Row],[Commission VAT]]-Table1[[#This Row],[FreeDeliveryFund]]</f>
        <v>964.37819480000007</v>
      </c>
      <c r="AY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M640" s="2"/>
    </row>
    <row r="641" spans="12:65" x14ac:dyDescent="0.25">
      <c r="L641" s="2">
        <v>504016</v>
      </c>
      <c r="M641" s="2" t="s">
        <v>52</v>
      </c>
      <c r="N641" s="2">
        <v>505839</v>
      </c>
      <c r="O641" t="s">
        <v>63</v>
      </c>
      <c r="P641">
        <v>3413428962</v>
      </c>
      <c r="Q641" s="5">
        <v>46044.621990740743</v>
      </c>
      <c r="R641" s="2" t="s">
        <v>54</v>
      </c>
      <c r="S641" s="2" t="s">
        <v>51</v>
      </c>
      <c r="T641" s="2" t="s">
        <v>55</v>
      </c>
      <c r="U641" s="2" t="s">
        <v>59</v>
      </c>
      <c r="V641" s="2" t="s">
        <v>57</v>
      </c>
      <c r="W641" s="2" t="s">
        <v>58</v>
      </c>
      <c r="X641" s="2" t="s">
        <v>59</v>
      </c>
      <c r="Y641" s="1">
        <v>740.87</v>
      </c>
      <c r="Z641" s="1">
        <v>740.87</v>
      </c>
      <c r="AA641" s="1">
        <v>0</v>
      </c>
      <c r="AB641" s="1">
        <v>29.99</v>
      </c>
      <c r="AC641" s="1">
        <v>0</v>
      </c>
      <c r="AD641" s="1">
        <v>94.667019999999994</v>
      </c>
      <c r="AE641" s="1">
        <v>770.86</v>
      </c>
      <c r="AF641" s="1">
        <v>830.85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12.965225</v>
      </c>
      <c r="AP641" s="1">
        <v>1.8151314999999999</v>
      </c>
      <c r="AQ641" s="1">
        <v>702.50877000000003</v>
      </c>
      <c r="AR641" s="1">
        <v>702.50877000000003</v>
      </c>
      <c r="AS641" s="1">
        <v>175.62719000000001</v>
      </c>
      <c r="AT641" s="1">
        <v>24.5878066</v>
      </c>
      <c r="AU641" s="1">
        <v>26.99</v>
      </c>
      <c r="AV641" s="2" t="s">
        <v>60</v>
      </c>
      <c r="AW641" s="1">
        <v>498.88499999999999</v>
      </c>
      <c r="AX641" s="1">
        <f>Table1[[#This Row],[Original Commissionable GMV]]-Table1[[#This Row],[Commission ]]-Table1[[#This Row],[Commission VAT]]-Table1[[#This Row],[FreeDeliveryFund]]</f>
        <v>475.30377339999995</v>
      </c>
      <c r="AY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M641" s="2"/>
    </row>
    <row r="642" spans="12:65" x14ac:dyDescent="0.25">
      <c r="L642" s="2">
        <v>504016</v>
      </c>
      <c r="M642" s="2" t="s">
        <v>52</v>
      </c>
      <c r="N642" s="2">
        <v>505835</v>
      </c>
      <c r="O642" t="s">
        <v>53</v>
      </c>
      <c r="P642">
        <v>3413479879</v>
      </c>
      <c r="Q642" s="5">
        <v>46044.640138888892</v>
      </c>
      <c r="R642" s="2" t="s">
        <v>66</v>
      </c>
      <c r="S642" s="2" t="s">
        <v>51</v>
      </c>
      <c r="T642" s="2" t="s">
        <v>55</v>
      </c>
      <c r="U642" s="2" t="s">
        <v>56</v>
      </c>
      <c r="V642" s="2" t="s">
        <v>57</v>
      </c>
      <c r="W642" s="2" t="s">
        <v>58</v>
      </c>
      <c r="X642" s="2" t="s">
        <v>59</v>
      </c>
      <c r="Y642" s="1">
        <v>419.99</v>
      </c>
      <c r="Z642" s="1">
        <v>419.99</v>
      </c>
      <c r="AA642" s="1">
        <v>0</v>
      </c>
      <c r="AB642" s="1">
        <v>21</v>
      </c>
      <c r="AC642" s="1">
        <v>0</v>
      </c>
      <c r="AD642" s="1">
        <v>54.156669999999998</v>
      </c>
      <c r="AE642" s="1">
        <v>440.99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7.3498250000000001</v>
      </c>
      <c r="AP642" s="1">
        <v>1.0289755</v>
      </c>
      <c r="AQ642" s="1">
        <v>368.41228000000001</v>
      </c>
      <c r="AR642" s="1">
        <v>368.41228000000001</v>
      </c>
      <c r="AS642" s="1">
        <v>92.103070000000002</v>
      </c>
      <c r="AT642" s="1">
        <v>12.894429799999999</v>
      </c>
      <c r="AU642" s="1">
        <v>30.99</v>
      </c>
      <c r="AV642" s="2" t="s">
        <v>60</v>
      </c>
      <c r="AW642" s="1">
        <v>275.62400000000002</v>
      </c>
      <c r="AX642" s="1">
        <f>Table1[[#This Row],[Original Commissionable GMV]]-Table1[[#This Row],[Commission ]]-Table1[[#This Row],[Commission VAT]]-Table1[[#This Row],[FreeDeliveryFund]]</f>
        <v>232.42478019999999</v>
      </c>
      <c r="AY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M642" s="2"/>
    </row>
    <row r="643" spans="12:65" x14ac:dyDescent="0.25">
      <c r="L643" s="2">
        <v>504016</v>
      </c>
      <c r="M643" s="2" t="s">
        <v>52</v>
      </c>
      <c r="N643" s="2">
        <v>505839</v>
      </c>
      <c r="O643" t="s">
        <v>53</v>
      </c>
      <c r="P643">
        <v>3413490335</v>
      </c>
      <c r="Q643" s="5">
        <v>46044.643599537034</v>
      </c>
      <c r="R643" s="2" t="s">
        <v>54</v>
      </c>
      <c r="S643" s="2" t="s">
        <v>51</v>
      </c>
      <c r="T643" s="2" t="s">
        <v>55</v>
      </c>
      <c r="U643" s="2" t="s">
        <v>56</v>
      </c>
      <c r="V643" s="2" t="s">
        <v>57</v>
      </c>
      <c r="W643" s="2" t="s">
        <v>58</v>
      </c>
      <c r="X643" s="2" t="s">
        <v>59</v>
      </c>
      <c r="Y643" s="1">
        <v>729.98</v>
      </c>
      <c r="Z643" s="1">
        <v>729.98</v>
      </c>
      <c r="AA643" s="1">
        <v>33.99</v>
      </c>
      <c r="AB643" s="1">
        <v>29.99</v>
      </c>
      <c r="AC643" s="1">
        <v>0</v>
      </c>
      <c r="AD643" s="1">
        <v>97.503860000000003</v>
      </c>
      <c r="AE643" s="1">
        <v>793.96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12.774649999999999</v>
      </c>
      <c r="AP643" s="1">
        <v>1.788451</v>
      </c>
      <c r="AQ643" s="1">
        <v>640.33333000000005</v>
      </c>
      <c r="AR643" s="1">
        <v>640.33333000000005</v>
      </c>
      <c r="AS643" s="1">
        <v>160.08332999999999</v>
      </c>
      <c r="AT643" s="1">
        <v>22.411666199999999</v>
      </c>
      <c r="AU643" s="1">
        <v>0</v>
      </c>
      <c r="AV643" s="2" t="s">
        <v>69</v>
      </c>
      <c r="AW643" s="1">
        <v>532.92200000000003</v>
      </c>
      <c r="AX643" s="1">
        <f>Table1[[#This Row],[Original Commissionable GMV]]-Table1[[#This Row],[Commission ]]-Table1[[#This Row],[Commission VAT]]-Table1[[#This Row],[FreeDeliveryFund]]</f>
        <v>457.83833380000004</v>
      </c>
      <c r="AY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M643" s="2"/>
    </row>
    <row r="644" spans="12:65" x14ac:dyDescent="0.25">
      <c r="L644" s="2">
        <v>504016</v>
      </c>
      <c r="M644" s="2" t="s">
        <v>52</v>
      </c>
      <c r="N644" s="2">
        <v>505837</v>
      </c>
      <c r="O644" t="s">
        <v>53</v>
      </c>
      <c r="P644">
        <v>3413588879</v>
      </c>
      <c r="Q644" s="5">
        <v>46044.676793981482</v>
      </c>
      <c r="R644" s="2" t="s">
        <v>54</v>
      </c>
      <c r="S644" s="2" t="s">
        <v>51</v>
      </c>
      <c r="T644" s="2" t="s">
        <v>55</v>
      </c>
      <c r="U644" s="2" t="s">
        <v>56</v>
      </c>
      <c r="V644" s="2" t="s">
        <v>57</v>
      </c>
      <c r="W644" s="2" t="s">
        <v>58</v>
      </c>
      <c r="X644" s="2" t="s">
        <v>59</v>
      </c>
      <c r="Y644" s="1">
        <v>543.66</v>
      </c>
      <c r="Z644" s="1">
        <v>543.66</v>
      </c>
      <c r="AA644" s="1">
        <v>0</v>
      </c>
      <c r="AB644" s="1">
        <v>27.18</v>
      </c>
      <c r="AC644" s="1">
        <v>0</v>
      </c>
      <c r="AD644" s="1">
        <v>70.103160000000003</v>
      </c>
      <c r="AE644" s="1">
        <v>570.84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9.5140499999999992</v>
      </c>
      <c r="AP644" s="1">
        <v>1.3319669999999999</v>
      </c>
      <c r="AQ644" s="1">
        <v>476.89474000000001</v>
      </c>
      <c r="AR644" s="1">
        <v>476.89474000000001</v>
      </c>
      <c r="AS644" s="1">
        <v>119.22369</v>
      </c>
      <c r="AT644" s="1">
        <v>16.6913166</v>
      </c>
      <c r="AU644" s="1">
        <v>31.99</v>
      </c>
      <c r="AV644" s="2" t="s">
        <v>60</v>
      </c>
      <c r="AW644" s="1">
        <v>364.90899999999999</v>
      </c>
      <c r="AX644" s="1">
        <f>Table1[[#This Row],[Original Commissionable GMV]]-Table1[[#This Row],[Commission ]]-Table1[[#This Row],[Commission VAT]]-Table1[[#This Row],[FreeDeliveryFund]]</f>
        <v>308.98973340000003</v>
      </c>
      <c r="AY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M644" s="2"/>
    </row>
    <row r="645" spans="12:65" x14ac:dyDescent="0.25">
      <c r="L645" s="2">
        <v>504016</v>
      </c>
      <c r="M645" s="2" t="s">
        <v>52</v>
      </c>
      <c r="N645" s="2">
        <v>505835</v>
      </c>
      <c r="O645" t="s">
        <v>53</v>
      </c>
      <c r="P645">
        <v>3413604927</v>
      </c>
      <c r="Q645" s="5">
        <v>46044.681967592594</v>
      </c>
      <c r="R645" s="2" t="s">
        <v>54</v>
      </c>
      <c r="S645" s="2" t="s">
        <v>51</v>
      </c>
      <c r="T645" s="2" t="s">
        <v>55</v>
      </c>
      <c r="U645" s="2" t="s">
        <v>56</v>
      </c>
      <c r="V645" s="2" t="s">
        <v>57</v>
      </c>
      <c r="W645" s="2" t="s">
        <v>58</v>
      </c>
      <c r="X645" s="2" t="s">
        <v>59</v>
      </c>
      <c r="Y645" s="1">
        <v>1811.95</v>
      </c>
      <c r="Z645" s="1">
        <v>1811.95</v>
      </c>
      <c r="AA645" s="1">
        <v>38.99</v>
      </c>
      <c r="AB645" s="1">
        <v>29.99</v>
      </c>
      <c r="AC645" s="1">
        <v>0</v>
      </c>
      <c r="AD645" s="1">
        <v>230.9914</v>
      </c>
      <c r="AE645" s="1">
        <v>1880.93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31.709126749999999</v>
      </c>
      <c r="AP645" s="1">
        <v>4.4392777450000001</v>
      </c>
      <c r="AQ645" s="1">
        <v>1589.4298200000001</v>
      </c>
      <c r="AR645" s="1">
        <v>1589.4298200000001</v>
      </c>
      <c r="AS645" s="1">
        <v>397.35746</v>
      </c>
      <c r="AT645" s="1">
        <v>55.630044400000003</v>
      </c>
      <c r="AU645" s="1">
        <v>0</v>
      </c>
      <c r="AV645" s="2" t="s">
        <v>69</v>
      </c>
      <c r="AW645" s="1">
        <v>1322.8140000000001</v>
      </c>
      <c r="AX645" s="1">
        <f>Table1[[#This Row],[Original Commissionable GMV]]-Table1[[#This Row],[Commission ]]-Table1[[#This Row],[Commission VAT]]-Table1[[#This Row],[FreeDeliveryFund]]</f>
        <v>1136.4423156</v>
      </c>
      <c r="AY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M645" s="2"/>
    </row>
    <row r="646" spans="12:65" x14ac:dyDescent="0.25">
      <c r="L646" s="2">
        <v>504016</v>
      </c>
      <c r="M646" s="2" t="s">
        <v>52</v>
      </c>
      <c r="N646" s="2">
        <v>505839</v>
      </c>
      <c r="O646" t="s">
        <v>53</v>
      </c>
      <c r="P646">
        <v>3413648446</v>
      </c>
      <c r="Q646" s="5">
        <v>46044.695497685185</v>
      </c>
      <c r="R646" s="2" t="s">
        <v>54</v>
      </c>
      <c r="S646" s="2" t="s">
        <v>51</v>
      </c>
      <c r="T646" s="2" t="s">
        <v>55</v>
      </c>
      <c r="U646" s="2" t="s">
        <v>59</v>
      </c>
      <c r="V646" s="2" t="s">
        <v>57</v>
      </c>
      <c r="W646" s="2" t="s">
        <v>58</v>
      </c>
      <c r="X646" s="2" t="s">
        <v>59</v>
      </c>
      <c r="Y646" s="1">
        <v>1466.96</v>
      </c>
      <c r="Z646" s="1">
        <v>1466.96</v>
      </c>
      <c r="AA646" s="1">
        <v>0</v>
      </c>
      <c r="AB646" s="1">
        <v>29.99</v>
      </c>
      <c r="AC646" s="1">
        <v>0</v>
      </c>
      <c r="AD646" s="1">
        <v>183.83596</v>
      </c>
      <c r="AE646" s="1">
        <v>1496.95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25.671800000000001</v>
      </c>
      <c r="AP646" s="1">
        <v>3.594052</v>
      </c>
      <c r="AQ646" s="1">
        <v>1286.80702</v>
      </c>
      <c r="AR646" s="1">
        <v>1286.80702</v>
      </c>
      <c r="AS646" s="1">
        <v>321.70175999999998</v>
      </c>
      <c r="AT646" s="1">
        <v>45.038246399999998</v>
      </c>
      <c r="AU646" s="1">
        <v>35.99</v>
      </c>
      <c r="AV646" s="2" t="s">
        <v>60</v>
      </c>
      <c r="AW646" s="1">
        <v>1034.9639999999999</v>
      </c>
      <c r="AX646" s="1">
        <f>Table1[[#This Row],[Original Commissionable GMV]]-Table1[[#This Row],[Commission ]]-Table1[[#This Row],[Commission VAT]]-Table1[[#This Row],[FreeDeliveryFund]]</f>
        <v>884.07701359999999</v>
      </c>
      <c r="AY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M646" s="2"/>
    </row>
    <row r="647" spans="12:65" x14ac:dyDescent="0.25">
      <c r="L647" s="2">
        <v>504016</v>
      </c>
      <c r="M647" s="2" t="s">
        <v>52</v>
      </c>
      <c r="N647" s="2">
        <v>505839</v>
      </c>
      <c r="O647" t="s">
        <v>53</v>
      </c>
      <c r="P647">
        <v>3413680669</v>
      </c>
      <c r="Q647" s="5">
        <v>46044.704976851855</v>
      </c>
      <c r="R647" s="2" t="s">
        <v>54</v>
      </c>
      <c r="S647" s="2" t="s">
        <v>51</v>
      </c>
      <c r="T647" s="2" t="s">
        <v>55</v>
      </c>
      <c r="U647" s="2" t="s">
        <v>56</v>
      </c>
      <c r="V647" s="2" t="s">
        <v>57</v>
      </c>
      <c r="W647" s="2" t="s">
        <v>58</v>
      </c>
      <c r="X647" s="2" t="s">
        <v>59</v>
      </c>
      <c r="Y647" s="1">
        <v>865.98</v>
      </c>
      <c r="Z647" s="1">
        <v>865.98</v>
      </c>
      <c r="AA647" s="1">
        <v>0</v>
      </c>
      <c r="AB647" s="1">
        <v>29.99</v>
      </c>
      <c r="AC647" s="1">
        <v>0</v>
      </c>
      <c r="AD647" s="1">
        <v>110.0314</v>
      </c>
      <c r="AE647" s="1">
        <v>895.97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15.15465</v>
      </c>
      <c r="AP647" s="1">
        <v>2.121651</v>
      </c>
      <c r="AQ647" s="1">
        <v>759.63157999999999</v>
      </c>
      <c r="AR647" s="1">
        <v>759.63157999999999</v>
      </c>
      <c r="AS647" s="1">
        <v>189.90790000000001</v>
      </c>
      <c r="AT647" s="1">
        <v>26.587105999999999</v>
      </c>
      <c r="AU647" s="1">
        <v>34.99</v>
      </c>
      <c r="AV647" s="2" t="s">
        <v>60</v>
      </c>
      <c r="AW647" s="1">
        <v>597.21900000000005</v>
      </c>
      <c r="AX647" s="1">
        <f>Table1[[#This Row],[Original Commissionable GMV]]-Table1[[#This Row],[Commission ]]-Table1[[#This Row],[Commission VAT]]-Table1[[#This Row],[FreeDeliveryFund]]</f>
        <v>508.14657399999999</v>
      </c>
      <c r="AY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M647" s="2"/>
    </row>
    <row r="648" spans="12:65" x14ac:dyDescent="0.25">
      <c r="L648" s="2">
        <v>504016</v>
      </c>
      <c r="M648" s="2" t="s">
        <v>52</v>
      </c>
      <c r="N648" s="2">
        <v>505839</v>
      </c>
      <c r="O648" t="s">
        <v>53</v>
      </c>
      <c r="P648">
        <v>3413691303</v>
      </c>
      <c r="Q648" s="5">
        <v>46044.708078703705</v>
      </c>
      <c r="R648" s="2" t="s">
        <v>62</v>
      </c>
      <c r="S648" s="2" t="s">
        <v>61</v>
      </c>
      <c r="T648" s="2" t="s">
        <v>77</v>
      </c>
      <c r="U648" s="2" t="s">
        <v>59</v>
      </c>
      <c r="V648" s="2" t="s">
        <v>57</v>
      </c>
      <c r="W648" s="2" t="s">
        <v>58</v>
      </c>
      <c r="X648" s="2" t="s">
        <v>59</v>
      </c>
      <c r="Y648" s="1">
        <v>844</v>
      </c>
      <c r="Z648" s="1">
        <v>844</v>
      </c>
      <c r="AA648" s="1">
        <v>0</v>
      </c>
      <c r="AB648" s="1">
        <v>0</v>
      </c>
      <c r="AC648" s="1">
        <v>0</v>
      </c>
      <c r="AD648" s="1">
        <v>88.101749999999996</v>
      </c>
      <c r="AE648" s="1">
        <v>717.4</v>
      </c>
      <c r="AG648" s="1">
        <v>0</v>
      </c>
      <c r="AH648" s="1">
        <v>126.6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740.35087999999996</v>
      </c>
      <c r="AR648" s="1">
        <v>740.35087999999996</v>
      </c>
      <c r="AS648" s="1">
        <v>185.08771999999999</v>
      </c>
      <c r="AT648" s="1">
        <v>25.912280800000001</v>
      </c>
      <c r="AU648" s="1">
        <v>0</v>
      </c>
      <c r="AV648" s="2" t="s">
        <v>69</v>
      </c>
      <c r="AW648" s="1">
        <v>-211</v>
      </c>
      <c r="AX648" s="1">
        <f>Table1[[#This Row],[Original Commissionable GMV]]-Table1[[#This Row],[Commission ]]-Table1[[#This Row],[Commission VAT]]-Table1[[#This Row],[FreeDeliveryFund]]</f>
        <v>529.35087920000001</v>
      </c>
      <c r="AY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M648" s="2"/>
    </row>
    <row r="649" spans="12:65" x14ac:dyDescent="0.25">
      <c r="L649" s="2">
        <v>504016</v>
      </c>
      <c r="M649" s="2" t="s">
        <v>52</v>
      </c>
      <c r="N649" s="2">
        <v>505837</v>
      </c>
      <c r="O649" t="s">
        <v>63</v>
      </c>
      <c r="P649">
        <v>3413694730</v>
      </c>
      <c r="Q649" s="5">
        <v>46044.709097222221</v>
      </c>
      <c r="R649" s="2" t="s">
        <v>62</v>
      </c>
      <c r="S649" s="2" t="s">
        <v>51</v>
      </c>
      <c r="T649" s="2" t="s">
        <v>55</v>
      </c>
      <c r="U649" s="2" t="s">
        <v>59</v>
      </c>
      <c r="V649" s="2" t="s">
        <v>57</v>
      </c>
      <c r="W649" s="2" t="s">
        <v>58</v>
      </c>
      <c r="X649" s="2" t="s">
        <v>59</v>
      </c>
      <c r="Y649" s="1">
        <v>551.99</v>
      </c>
      <c r="Z649" s="1">
        <v>551.99</v>
      </c>
      <c r="AA649" s="1">
        <v>0</v>
      </c>
      <c r="AB649" s="1">
        <v>27.6</v>
      </c>
      <c r="AC649" s="1">
        <v>0</v>
      </c>
      <c r="AD649" s="1">
        <v>71.177719999999994</v>
      </c>
      <c r="AE649" s="1">
        <v>579.59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484.20175</v>
      </c>
      <c r="AR649" s="1">
        <v>484.20175</v>
      </c>
      <c r="AS649" s="1">
        <v>121.05043999999999</v>
      </c>
      <c r="AT649" s="1">
        <v>16.947061600000001</v>
      </c>
      <c r="AU649" s="1">
        <v>26.99</v>
      </c>
      <c r="AV649" s="2" t="s">
        <v>60</v>
      </c>
      <c r="AW649" s="1">
        <v>387.00200000000001</v>
      </c>
      <c r="AX649" s="1">
        <f>Table1[[#This Row],[Original Commissionable GMV]]-Table1[[#This Row],[Commission ]]-Table1[[#This Row],[Commission VAT]]-Table1[[#This Row],[FreeDeliveryFund]]</f>
        <v>319.21424840000003</v>
      </c>
      <c r="AY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M649" s="2"/>
    </row>
    <row r="650" spans="12:65" x14ac:dyDescent="0.25">
      <c r="L650" s="2">
        <v>504016</v>
      </c>
      <c r="M650" s="2" t="s">
        <v>52</v>
      </c>
      <c r="N650" s="2">
        <v>505837</v>
      </c>
      <c r="O650" t="s">
        <v>63</v>
      </c>
      <c r="P650">
        <v>3413717460</v>
      </c>
      <c r="Q650" s="5">
        <v>46044.715879629628</v>
      </c>
      <c r="R650" s="2" t="s">
        <v>54</v>
      </c>
      <c r="S650" s="2" t="s">
        <v>51</v>
      </c>
      <c r="T650" s="2" t="s">
        <v>55</v>
      </c>
      <c r="U650" s="2" t="s">
        <v>56</v>
      </c>
      <c r="V650" s="2" t="s">
        <v>57</v>
      </c>
      <c r="W650" s="2" t="s">
        <v>58</v>
      </c>
      <c r="X650" s="2" t="s">
        <v>59</v>
      </c>
      <c r="Y650" s="1">
        <v>944.98</v>
      </c>
      <c r="Z650" s="1">
        <v>944.98</v>
      </c>
      <c r="AA650" s="1">
        <v>7</v>
      </c>
      <c r="AB650" s="1">
        <v>29.99</v>
      </c>
      <c r="AC650" s="1">
        <v>0</v>
      </c>
      <c r="AD650" s="1">
        <v>120.59281</v>
      </c>
      <c r="AE650" s="1">
        <v>981.97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16.53715</v>
      </c>
      <c r="AP650" s="1">
        <v>2.3152010000000001</v>
      </c>
      <c r="AQ650" s="1">
        <v>828.92981999999995</v>
      </c>
      <c r="AR650" s="1">
        <v>828.92981999999995</v>
      </c>
      <c r="AS650" s="1">
        <v>207.23246</v>
      </c>
      <c r="AT650" s="1">
        <v>29.012544399999999</v>
      </c>
      <c r="AU650" s="1">
        <v>26.99</v>
      </c>
      <c r="AV650" s="2" t="s">
        <v>60</v>
      </c>
      <c r="AW650" s="1">
        <v>662.89300000000003</v>
      </c>
      <c r="AX650" s="1">
        <f>Table1[[#This Row],[Original Commissionable GMV]]-Table1[[#This Row],[Commission ]]-Table1[[#This Row],[Commission VAT]]-Table1[[#This Row],[FreeDeliveryFund]]</f>
        <v>565.69481559999986</v>
      </c>
      <c r="AY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M650" s="2"/>
    </row>
    <row r="651" spans="12:65" x14ac:dyDescent="0.25">
      <c r="L651" s="2">
        <v>504016</v>
      </c>
      <c r="M651" s="2" t="s">
        <v>52</v>
      </c>
      <c r="N651" s="2">
        <v>505837</v>
      </c>
      <c r="O651" t="s">
        <v>53</v>
      </c>
      <c r="P651">
        <v>3413726589</v>
      </c>
      <c r="Q651" s="5">
        <v>46044.718576388892</v>
      </c>
      <c r="R651" s="2" t="s">
        <v>54</v>
      </c>
      <c r="S651" s="2" t="s">
        <v>51</v>
      </c>
      <c r="T651" s="2" t="s">
        <v>55</v>
      </c>
      <c r="U651" s="2" t="s">
        <v>56</v>
      </c>
      <c r="V651" s="2" t="s">
        <v>57</v>
      </c>
      <c r="W651" s="2" t="s">
        <v>58</v>
      </c>
      <c r="X651" s="2" t="s">
        <v>59</v>
      </c>
      <c r="Y651" s="1">
        <v>1800.97</v>
      </c>
      <c r="Z651" s="1">
        <v>1800.97</v>
      </c>
      <c r="AA651" s="1">
        <v>41.99</v>
      </c>
      <c r="AB651" s="1">
        <v>29.99</v>
      </c>
      <c r="AC651" s="1">
        <v>0</v>
      </c>
      <c r="AD651" s="1">
        <v>230.01140000000001</v>
      </c>
      <c r="AE651" s="1">
        <v>1872.95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31.516974999999999</v>
      </c>
      <c r="AP651" s="1">
        <v>4.4123764999999997</v>
      </c>
      <c r="AQ651" s="1">
        <v>1579.7982500000001</v>
      </c>
      <c r="AR651" s="1">
        <v>1579.7982500000001</v>
      </c>
      <c r="AS651" s="1">
        <v>394.94956000000002</v>
      </c>
      <c r="AT651" s="1">
        <v>55.292938399999997</v>
      </c>
      <c r="AU651" s="1">
        <v>0</v>
      </c>
      <c r="AV651" s="2" t="s">
        <v>69</v>
      </c>
      <c r="AW651" s="1">
        <v>1314.798</v>
      </c>
      <c r="AX651" s="1">
        <f>Table1[[#This Row],[Original Commissionable GMV]]-Table1[[#This Row],[Commission ]]-Table1[[#This Row],[Commission VAT]]-Table1[[#This Row],[FreeDeliveryFund]]</f>
        <v>1129.5557516000001</v>
      </c>
      <c r="AY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M651" s="2"/>
    </row>
    <row r="652" spans="12:65" x14ac:dyDescent="0.25">
      <c r="L652" s="2">
        <v>504016</v>
      </c>
      <c r="M652" s="2" t="s">
        <v>52</v>
      </c>
      <c r="N652" s="2">
        <v>505839</v>
      </c>
      <c r="O652" t="s">
        <v>63</v>
      </c>
      <c r="P652">
        <v>3413809010</v>
      </c>
      <c r="Q652" s="5">
        <v>46044.742638888885</v>
      </c>
      <c r="R652" s="2" t="s">
        <v>54</v>
      </c>
      <c r="S652" s="2" t="s">
        <v>51</v>
      </c>
      <c r="T652" s="2" t="s">
        <v>55</v>
      </c>
      <c r="U652" s="2" t="s">
        <v>59</v>
      </c>
      <c r="V652" s="2" t="s">
        <v>57</v>
      </c>
      <c r="W652" s="2" t="s">
        <v>58</v>
      </c>
      <c r="X652" s="2" t="s">
        <v>59</v>
      </c>
      <c r="Y652" s="1">
        <v>959.97</v>
      </c>
      <c r="Z652" s="1">
        <v>959.97</v>
      </c>
      <c r="AA652" s="1">
        <v>0</v>
      </c>
      <c r="AB652" s="1">
        <v>29.99</v>
      </c>
      <c r="AC652" s="1">
        <v>0</v>
      </c>
      <c r="AD652" s="1">
        <v>121.57404</v>
      </c>
      <c r="AE652" s="1">
        <v>989.96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16.799475000000001</v>
      </c>
      <c r="AP652" s="1">
        <v>2.3519264999999998</v>
      </c>
      <c r="AQ652" s="1">
        <v>842.07894999999996</v>
      </c>
      <c r="AR652" s="1">
        <v>842.07894999999996</v>
      </c>
      <c r="AS652" s="1">
        <v>210.51974000000001</v>
      </c>
      <c r="AT652" s="1">
        <v>29.4727636</v>
      </c>
      <c r="AU652" s="1">
        <v>27.99</v>
      </c>
      <c r="AV652" s="2" t="s">
        <v>60</v>
      </c>
      <c r="AW652" s="1">
        <v>672.83600000000001</v>
      </c>
      <c r="AX652" s="1">
        <f>Table1[[#This Row],[Original Commissionable GMV]]-Table1[[#This Row],[Commission ]]-Table1[[#This Row],[Commission VAT]]-Table1[[#This Row],[FreeDeliveryFund]]</f>
        <v>574.09644639999988</v>
      </c>
      <c r="AY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M652" s="2"/>
    </row>
    <row r="653" spans="12:65" x14ac:dyDescent="0.25">
      <c r="L653" s="2">
        <v>504016</v>
      </c>
      <c r="M653" s="2" t="s">
        <v>52</v>
      </c>
      <c r="N653" s="2">
        <v>505837</v>
      </c>
      <c r="O653" t="s">
        <v>63</v>
      </c>
      <c r="P653">
        <v>3413814606</v>
      </c>
      <c r="Q653" s="5">
        <v>46044.744259259256</v>
      </c>
      <c r="R653" s="2" t="s">
        <v>54</v>
      </c>
      <c r="S653" s="2" t="s">
        <v>51</v>
      </c>
      <c r="T653" s="2" t="s">
        <v>55</v>
      </c>
      <c r="U653" s="2" t="s">
        <v>59</v>
      </c>
      <c r="V653" s="2" t="s">
        <v>57</v>
      </c>
      <c r="W653" s="2" t="s">
        <v>58</v>
      </c>
      <c r="X653" s="2" t="s">
        <v>59</v>
      </c>
      <c r="Y653" s="1">
        <v>765.98</v>
      </c>
      <c r="Z653" s="1">
        <v>765.98</v>
      </c>
      <c r="AA653" s="1">
        <v>35.99</v>
      </c>
      <c r="AB653" s="1">
        <v>29.99</v>
      </c>
      <c r="AC653" s="1">
        <v>0</v>
      </c>
      <c r="AD653" s="1">
        <v>102.17053</v>
      </c>
      <c r="AE653" s="1">
        <v>831.96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13.40465</v>
      </c>
      <c r="AP653" s="1">
        <v>1.8766510000000001</v>
      </c>
      <c r="AQ653" s="1">
        <v>671.91228000000001</v>
      </c>
      <c r="AR653" s="1">
        <v>671.91228000000001</v>
      </c>
      <c r="AS653" s="1">
        <v>167.97807</v>
      </c>
      <c r="AT653" s="1">
        <v>23.5169298</v>
      </c>
      <c r="AU653" s="1">
        <v>0</v>
      </c>
      <c r="AV653" s="2" t="s">
        <v>69</v>
      </c>
      <c r="AW653" s="1">
        <v>559.20399999999995</v>
      </c>
      <c r="AX653" s="1">
        <f>Table1[[#This Row],[Original Commissionable GMV]]-Table1[[#This Row],[Commission ]]-Table1[[#This Row],[Commission VAT]]-Table1[[#This Row],[FreeDeliveryFund]]</f>
        <v>480.41728019999999</v>
      </c>
      <c r="AY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M653" s="2"/>
    </row>
    <row r="654" spans="12:65" x14ac:dyDescent="0.25">
      <c r="L654" s="2">
        <v>504016</v>
      </c>
      <c r="M654" s="2" t="s">
        <v>52</v>
      </c>
      <c r="N654" s="2">
        <v>505837</v>
      </c>
      <c r="O654" t="s">
        <v>53</v>
      </c>
      <c r="P654">
        <v>3413866173</v>
      </c>
      <c r="Q654" s="5">
        <v>46044.758981481478</v>
      </c>
      <c r="R654" s="2" t="s">
        <v>54</v>
      </c>
      <c r="S654" s="2" t="s">
        <v>51</v>
      </c>
      <c r="T654" s="2" t="s">
        <v>55</v>
      </c>
      <c r="U654" s="2" t="s">
        <v>56</v>
      </c>
      <c r="V654" s="2" t="s">
        <v>57</v>
      </c>
      <c r="W654" s="2" t="s">
        <v>58</v>
      </c>
      <c r="X654" s="2" t="s">
        <v>59</v>
      </c>
      <c r="Y654" s="1">
        <v>389.99</v>
      </c>
      <c r="Z654" s="1">
        <v>389.99</v>
      </c>
      <c r="AA654" s="1">
        <v>9</v>
      </c>
      <c r="AB654" s="1">
        <v>19.5</v>
      </c>
      <c r="AC654" s="1">
        <v>0</v>
      </c>
      <c r="AD654" s="1">
        <v>51.393509999999999</v>
      </c>
      <c r="AE654" s="1">
        <v>418.49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6.8248249999999997</v>
      </c>
      <c r="AP654" s="1">
        <v>0.95547550000000003</v>
      </c>
      <c r="AQ654" s="1">
        <v>342.09649000000002</v>
      </c>
      <c r="AR654" s="1">
        <v>342.09649000000002</v>
      </c>
      <c r="AS654" s="1">
        <v>85.524119999999996</v>
      </c>
      <c r="AT654" s="1">
        <v>11.9733768</v>
      </c>
      <c r="AU654" s="1">
        <v>32.99</v>
      </c>
      <c r="AV654" s="2" t="s">
        <v>60</v>
      </c>
      <c r="AW654" s="1">
        <v>251.72200000000001</v>
      </c>
      <c r="AX654" s="1">
        <f>Table1[[#This Row],[Original Commissionable GMV]]-Table1[[#This Row],[Commission ]]-Table1[[#This Row],[Commission VAT]]-Table1[[#This Row],[FreeDeliveryFund]]</f>
        <v>211.60899320000001</v>
      </c>
      <c r="AY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M654" s="2"/>
    </row>
    <row r="655" spans="12:65" x14ac:dyDescent="0.25">
      <c r="L655" s="2">
        <v>504016</v>
      </c>
      <c r="M655" s="2" t="s">
        <v>52</v>
      </c>
      <c r="N655" s="2">
        <v>505837</v>
      </c>
      <c r="O655" t="s">
        <v>63</v>
      </c>
      <c r="P655">
        <v>3413917397</v>
      </c>
      <c r="Q655" s="5">
        <v>46044.773379629631</v>
      </c>
      <c r="R655" s="2" t="s">
        <v>62</v>
      </c>
      <c r="S655" s="2" t="s">
        <v>51</v>
      </c>
      <c r="T655" s="2" t="s">
        <v>55</v>
      </c>
      <c r="U655" s="2" t="s">
        <v>59</v>
      </c>
      <c r="V655" s="2" t="s">
        <v>57</v>
      </c>
      <c r="W655" s="2" t="s">
        <v>58</v>
      </c>
      <c r="X655" s="2" t="s">
        <v>59</v>
      </c>
      <c r="Y655" s="1">
        <v>239.99</v>
      </c>
      <c r="Z655" s="1">
        <v>239.99</v>
      </c>
      <c r="AA655" s="1">
        <v>26.99</v>
      </c>
      <c r="AB655" s="1">
        <v>12</v>
      </c>
      <c r="AC655" s="1">
        <v>0</v>
      </c>
      <c r="AD655" s="1">
        <v>34.2607</v>
      </c>
      <c r="AE655" s="1">
        <v>278.98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210.51754</v>
      </c>
      <c r="AR655" s="1">
        <v>210.51754</v>
      </c>
      <c r="AS655" s="1">
        <v>52.629390000000001</v>
      </c>
      <c r="AT655" s="1">
        <v>7.3681146000000002</v>
      </c>
      <c r="AU655" s="1">
        <v>0</v>
      </c>
      <c r="AV655" s="2" t="s">
        <v>69</v>
      </c>
      <c r="AW655" s="1">
        <v>179.99199999999999</v>
      </c>
      <c r="AX655" s="1">
        <f>Table1[[#This Row],[Original Commissionable GMV]]-Table1[[#This Row],[Commission ]]-Table1[[#This Row],[Commission VAT]]-Table1[[#This Row],[FreeDeliveryFund]]</f>
        <v>150.52003539999998</v>
      </c>
      <c r="AY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M655" s="2"/>
    </row>
    <row r="656" spans="12:65" x14ac:dyDescent="0.25">
      <c r="L656" s="2">
        <v>504016</v>
      </c>
      <c r="M656" s="2" t="s">
        <v>52</v>
      </c>
      <c r="N656" s="2">
        <v>505839</v>
      </c>
      <c r="O656" t="s">
        <v>65</v>
      </c>
      <c r="P656">
        <v>3413924192</v>
      </c>
      <c r="Q656" s="5">
        <v>46044.775289351855</v>
      </c>
      <c r="R656" s="2" t="s">
        <v>54</v>
      </c>
      <c r="S656" s="2" t="s">
        <v>51</v>
      </c>
      <c r="T656" s="2" t="s">
        <v>55</v>
      </c>
      <c r="U656" s="2" t="s">
        <v>59</v>
      </c>
      <c r="V656" s="2" t="s">
        <v>57</v>
      </c>
      <c r="W656" s="2" t="s">
        <v>58</v>
      </c>
      <c r="X656" s="2" t="s">
        <v>59</v>
      </c>
      <c r="Y656" s="1">
        <v>275.99</v>
      </c>
      <c r="Z656" s="1">
        <v>275.99</v>
      </c>
      <c r="AA656" s="1">
        <v>28.99</v>
      </c>
      <c r="AB656" s="1">
        <v>13.8</v>
      </c>
      <c r="AC656" s="1">
        <v>0</v>
      </c>
      <c r="AD656" s="1">
        <v>39.148420000000002</v>
      </c>
      <c r="AE656" s="1">
        <v>318.77999999999997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4.8298249999999996</v>
      </c>
      <c r="AP656" s="1">
        <v>0.67617550000000004</v>
      </c>
      <c r="AQ656" s="1">
        <v>242.09648999999999</v>
      </c>
      <c r="AR656" s="1">
        <v>242.09648999999999</v>
      </c>
      <c r="AS656" s="1">
        <v>60.524120000000003</v>
      </c>
      <c r="AT656" s="1">
        <v>8.4733768000000005</v>
      </c>
      <c r="AU656" s="1">
        <v>0</v>
      </c>
      <c r="AV656" s="2" t="s">
        <v>69</v>
      </c>
      <c r="AW656" s="1">
        <v>201.48699999999999</v>
      </c>
      <c r="AX656" s="1">
        <f>Table1[[#This Row],[Original Commissionable GMV]]-Table1[[#This Row],[Commission ]]-Table1[[#This Row],[Commission VAT]]-Table1[[#This Row],[FreeDeliveryFund]]</f>
        <v>173.09899319999997</v>
      </c>
      <c r="AY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M656" s="2"/>
    </row>
    <row r="657" spans="12:65" x14ac:dyDescent="0.25">
      <c r="L657" s="2">
        <v>504016</v>
      </c>
      <c r="M657" s="2" t="s">
        <v>52</v>
      </c>
      <c r="N657" s="2">
        <v>505837</v>
      </c>
      <c r="O657" t="s">
        <v>53</v>
      </c>
      <c r="P657">
        <v>3413943042</v>
      </c>
      <c r="Q657" s="5">
        <v>46044.78056712963</v>
      </c>
      <c r="R657" s="2" t="s">
        <v>54</v>
      </c>
      <c r="S657" s="2" t="s">
        <v>51</v>
      </c>
      <c r="T657" s="2" t="s">
        <v>55</v>
      </c>
      <c r="U657" s="2" t="s">
        <v>59</v>
      </c>
      <c r="V657" s="2" t="s">
        <v>57</v>
      </c>
      <c r="W657" s="2" t="s">
        <v>58</v>
      </c>
      <c r="X657" s="2" t="s">
        <v>59</v>
      </c>
      <c r="Y657" s="1">
        <v>767.99</v>
      </c>
      <c r="Z657" s="1">
        <v>767.99</v>
      </c>
      <c r="AA657" s="1">
        <v>0</v>
      </c>
      <c r="AB657" s="1">
        <v>29.99</v>
      </c>
      <c r="AC657" s="1">
        <v>0</v>
      </c>
      <c r="AD657" s="1">
        <v>97.997540000000001</v>
      </c>
      <c r="AE657" s="1">
        <v>797.98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13.439825000000001</v>
      </c>
      <c r="AP657" s="1">
        <v>1.8815755000000001</v>
      </c>
      <c r="AQ657" s="1">
        <v>673.67543999999998</v>
      </c>
      <c r="AR657" s="1">
        <v>673.67543999999998</v>
      </c>
      <c r="AS657" s="1">
        <v>168.41886</v>
      </c>
      <c r="AT657" s="1">
        <v>23.578640400000001</v>
      </c>
      <c r="AU657" s="1">
        <v>33.99</v>
      </c>
      <c r="AV657" s="2" t="s">
        <v>60</v>
      </c>
      <c r="AW657" s="1">
        <v>526.68100000000004</v>
      </c>
      <c r="AX657" s="1">
        <f>Table1[[#This Row],[Original Commissionable GMV]]-Table1[[#This Row],[Commission ]]-Table1[[#This Row],[Commission VAT]]-Table1[[#This Row],[FreeDeliveryFund]]</f>
        <v>447.68793959999999</v>
      </c>
      <c r="AY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M657" s="2"/>
    </row>
    <row r="658" spans="12:65" x14ac:dyDescent="0.25">
      <c r="L658" s="2">
        <v>504016</v>
      </c>
      <c r="M658" s="2" t="s">
        <v>52</v>
      </c>
      <c r="N658" s="2">
        <v>505839</v>
      </c>
      <c r="O658" t="s">
        <v>53</v>
      </c>
      <c r="P658">
        <v>3413962947</v>
      </c>
      <c r="Q658" s="5">
        <v>46044.786203703705</v>
      </c>
      <c r="R658" s="2" t="s">
        <v>62</v>
      </c>
      <c r="S658" s="2" t="s">
        <v>51</v>
      </c>
      <c r="T658" s="2" t="s">
        <v>55</v>
      </c>
      <c r="U658" s="2" t="s">
        <v>56</v>
      </c>
      <c r="V658" s="2" t="s">
        <v>57</v>
      </c>
      <c r="W658" s="2" t="s">
        <v>58</v>
      </c>
      <c r="X658" s="2" t="s">
        <v>59</v>
      </c>
      <c r="Y658" s="1">
        <v>319</v>
      </c>
      <c r="Z658" s="1">
        <v>319</v>
      </c>
      <c r="AA658" s="1">
        <v>35.99</v>
      </c>
      <c r="AB658" s="1">
        <v>15.95</v>
      </c>
      <c r="AC658" s="1">
        <v>0</v>
      </c>
      <c r="AD658" s="1">
        <v>45.554040000000001</v>
      </c>
      <c r="AE658" s="1">
        <v>370.94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279.82456000000002</v>
      </c>
      <c r="AR658" s="1">
        <v>279.82456000000002</v>
      </c>
      <c r="AS658" s="1">
        <v>69.956140000000005</v>
      </c>
      <c r="AT658" s="1">
        <v>9.7938595999999993</v>
      </c>
      <c r="AU658" s="1">
        <v>0</v>
      </c>
      <c r="AV658" s="2" t="s">
        <v>69</v>
      </c>
      <c r="AW658" s="1">
        <v>239.25</v>
      </c>
      <c r="AX658" s="1">
        <f>Table1[[#This Row],[Original Commissionable GMV]]-Table1[[#This Row],[Commission ]]-Table1[[#This Row],[Commission VAT]]-Table1[[#This Row],[FreeDeliveryFund]]</f>
        <v>200.07456040000002</v>
      </c>
      <c r="AY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M658" s="2"/>
    </row>
    <row r="659" spans="12:65" x14ac:dyDescent="0.25">
      <c r="L659" s="2">
        <v>504016</v>
      </c>
      <c r="M659" s="2" t="s">
        <v>52</v>
      </c>
      <c r="N659" s="2">
        <v>505839</v>
      </c>
      <c r="O659" t="s">
        <v>65</v>
      </c>
      <c r="P659">
        <v>3414083818</v>
      </c>
      <c r="Q659" s="5">
        <v>46044.820891203701</v>
      </c>
      <c r="R659" s="2" t="s">
        <v>54</v>
      </c>
      <c r="S659" s="2" t="s">
        <v>51</v>
      </c>
      <c r="T659" s="2" t="s">
        <v>55</v>
      </c>
      <c r="U659" s="2" t="s">
        <v>56</v>
      </c>
      <c r="V659" s="2" t="s">
        <v>57</v>
      </c>
      <c r="W659" s="2" t="s">
        <v>58</v>
      </c>
      <c r="X659" s="2" t="s">
        <v>59</v>
      </c>
      <c r="Y659" s="1">
        <v>269.99</v>
      </c>
      <c r="Z659" s="1">
        <v>269.99</v>
      </c>
      <c r="AA659" s="1">
        <v>0</v>
      </c>
      <c r="AB659" s="1">
        <v>13.5</v>
      </c>
      <c r="AC659" s="1">
        <v>0</v>
      </c>
      <c r="AD659" s="1">
        <v>34.81456</v>
      </c>
      <c r="AE659" s="1">
        <v>283.49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30</v>
      </c>
      <c r="AN659" s="1">
        <v>4.2</v>
      </c>
      <c r="AO659" s="1">
        <v>4.7248250000000001</v>
      </c>
      <c r="AP659" s="1">
        <v>0.66147549999999999</v>
      </c>
      <c r="AQ659" s="1">
        <v>236.83332999999999</v>
      </c>
      <c r="AR659" s="1">
        <v>236.83332999999999</v>
      </c>
      <c r="AS659" s="1">
        <v>59.208329999999997</v>
      </c>
      <c r="AT659" s="1">
        <v>8.2891662000000004</v>
      </c>
      <c r="AU659" s="1">
        <v>29.99</v>
      </c>
      <c r="AV659" s="2" t="s">
        <v>60</v>
      </c>
      <c r="AW659" s="1">
        <v>132.916</v>
      </c>
      <c r="AX659" s="1">
        <f>Table1[[#This Row],[Original Commissionable GMV]]-Table1[[#This Row],[Commission ]]-Table1[[#This Row],[Commission VAT]]-Table1[[#This Row],[FreeDeliveryFund]]</f>
        <v>139.34583379999998</v>
      </c>
      <c r="AY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M659" s="2"/>
    </row>
    <row r="660" spans="12:65" x14ac:dyDescent="0.25">
      <c r="L660" s="2">
        <v>504016</v>
      </c>
      <c r="M660" s="2" t="s">
        <v>52</v>
      </c>
      <c r="N660" s="2">
        <v>505837</v>
      </c>
      <c r="O660" t="s">
        <v>63</v>
      </c>
      <c r="P660">
        <v>3414088798</v>
      </c>
      <c r="Q660" s="5">
        <v>46044.822395833333</v>
      </c>
      <c r="R660" s="2" t="s">
        <v>54</v>
      </c>
      <c r="S660" s="2" t="s">
        <v>51</v>
      </c>
      <c r="T660" s="2" t="s">
        <v>55</v>
      </c>
      <c r="U660" s="2" t="s">
        <v>59</v>
      </c>
      <c r="V660" s="2" t="s">
        <v>57</v>
      </c>
      <c r="W660" s="2" t="s">
        <v>58</v>
      </c>
      <c r="X660" s="2" t="s">
        <v>59</v>
      </c>
      <c r="Y660" s="1">
        <v>2539.9699999999998</v>
      </c>
      <c r="Z660" s="1">
        <v>2539.9699999999998</v>
      </c>
      <c r="AA660" s="1">
        <v>34.99</v>
      </c>
      <c r="AB660" s="1">
        <v>29.99</v>
      </c>
      <c r="AC660" s="1">
        <v>0</v>
      </c>
      <c r="AD660" s="1">
        <v>319.90613999999999</v>
      </c>
      <c r="AE660" s="1">
        <v>2604.9499999999998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44.449475</v>
      </c>
      <c r="AP660" s="1">
        <v>6.2229264999999998</v>
      </c>
      <c r="AQ660" s="1">
        <v>2228.0438600000002</v>
      </c>
      <c r="AR660" s="1">
        <v>2228.0438600000002</v>
      </c>
      <c r="AS660" s="1">
        <v>557.01097000000004</v>
      </c>
      <c r="AT660" s="1">
        <v>77.981535800000003</v>
      </c>
      <c r="AU660" s="1">
        <v>0</v>
      </c>
      <c r="AV660" s="2" t="s">
        <v>69</v>
      </c>
      <c r="AW660" s="1">
        <v>1854.3050000000001</v>
      </c>
      <c r="AX660" s="1">
        <f>Table1[[#This Row],[Original Commissionable GMV]]-Table1[[#This Row],[Commission ]]-Table1[[#This Row],[Commission VAT]]-Table1[[#This Row],[FreeDeliveryFund]]</f>
        <v>1593.0513542000001</v>
      </c>
      <c r="AY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M660" s="2"/>
    </row>
    <row r="661" spans="12:65" x14ac:dyDescent="0.25">
      <c r="L661" s="2">
        <v>504016</v>
      </c>
      <c r="M661" s="2" t="s">
        <v>52</v>
      </c>
      <c r="N661" s="2">
        <v>505837</v>
      </c>
      <c r="O661" t="s">
        <v>53</v>
      </c>
      <c r="P661">
        <v>3414323761</v>
      </c>
      <c r="Q661" s="5">
        <v>46044.900613425925</v>
      </c>
      <c r="R661" s="2" t="s">
        <v>54</v>
      </c>
      <c r="S661" s="2" t="s">
        <v>51</v>
      </c>
      <c r="T661" s="2" t="s">
        <v>55</v>
      </c>
      <c r="U661" s="2" t="s">
        <v>59</v>
      </c>
      <c r="V661" s="2" t="s">
        <v>57</v>
      </c>
      <c r="W661" s="2" t="s">
        <v>58</v>
      </c>
      <c r="X661" s="2" t="s">
        <v>59</v>
      </c>
      <c r="Y661" s="1">
        <v>640.17999999999995</v>
      </c>
      <c r="Z661" s="1">
        <v>640.17999999999995</v>
      </c>
      <c r="AA661" s="1">
        <v>9</v>
      </c>
      <c r="AB661" s="1">
        <v>29.99</v>
      </c>
      <c r="AC661" s="1">
        <v>0</v>
      </c>
      <c r="AD661" s="1">
        <v>83.406840000000003</v>
      </c>
      <c r="AE661" s="1">
        <v>679.17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11.203150000000001</v>
      </c>
      <c r="AP661" s="1">
        <v>1.568441</v>
      </c>
      <c r="AQ661" s="1">
        <v>561.56140000000005</v>
      </c>
      <c r="AR661" s="1">
        <v>561.56140000000005</v>
      </c>
      <c r="AS661" s="1">
        <v>140.39035000000001</v>
      </c>
      <c r="AT661" s="1">
        <v>19.654648999999999</v>
      </c>
      <c r="AU661" s="1">
        <v>34.99</v>
      </c>
      <c r="AV661" s="2" t="s">
        <v>60</v>
      </c>
      <c r="AW661" s="1">
        <v>432.37299999999999</v>
      </c>
      <c r="AX661" s="1">
        <f>Table1[[#This Row],[Original Commissionable GMV]]-Table1[[#This Row],[Commission ]]-Table1[[#This Row],[Commission VAT]]-Table1[[#This Row],[FreeDeliveryFund]]</f>
        <v>366.52640100000002</v>
      </c>
      <c r="AY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M661" s="2"/>
    </row>
    <row r="662" spans="12:65" x14ac:dyDescent="0.25">
      <c r="L662" s="2">
        <v>504016</v>
      </c>
      <c r="M662" s="2" t="s">
        <v>52</v>
      </c>
      <c r="N662" s="2">
        <v>505835</v>
      </c>
      <c r="O662" t="s">
        <v>53</v>
      </c>
      <c r="P662">
        <v>3414392005</v>
      </c>
      <c r="Q662" s="5">
        <v>46044.928703703707</v>
      </c>
      <c r="R662" s="2" t="s">
        <v>54</v>
      </c>
      <c r="S662" s="2" t="s">
        <v>51</v>
      </c>
      <c r="T662" s="2" t="s">
        <v>55</v>
      </c>
      <c r="U662" s="2" t="s">
        <v>59</v>
      </c>
      <c r="V662" s="2" t="s">
        <v>57</v>
      </c>
      <c r="W662" s="2" t="s">
        <v>58</v>
      </c>
      <c r="X662" s="2" t="s">
        <v>59</v>
      </c>
      <c r="Y662" s="1">
        <v>389.98</v>
      </c>
      <c r="Z662" s="1">
        <v>389.98</v>
      </c>
      <c r="AA662" s="1">
        <v>9</v>
      </c>
      <c r="AB662" s="1">
        <v>19.5</v>
      </c>
      <c r="AC662" s="1">
        <v>0</v>
      </c>
      <c r="AD662" s="1">
        <v>51.39228</v>
      </c>
      <c r="AE662" s="1">
        <v>418.48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6.8246500000000001</v>
      </c>
      <c r="AP662" s="1">
        <v>0.95545100000000005</v>
      </c>
      <c r="AQ662" s="1">
        <v>342.08771999999999</v>
      </c>
      <c r="AR662" s="1">
        <v>342.08771999999999</v>
      </c>
      <c r="AS662" s="1">
        <v>85.521929999999998</v>
      </c>
      <c r="AT662" s="1">
        <v>11.9730702</v>
      </c>
      <c r="AU662" s="1">
        <v>30.99</v>
      </c>
      <c r="AV662" s="2" t="s">
        <v>60</v>
      </c>
      <c r="AW662" s="1">
        <v>253.715</v>
      </c>
      <c r="AX662" s="1">
        <f>Table1[[#This Row],[Original Commissionable GMV]]-Table1[[#This Row],[Commission ]]-Table1[[#This Row],[Commission VAT]]-Table1[[#This Row],[FreeDeliveryFund]]</f>
        <v>213.60271979999999</v>
      </c>
      <c r="AY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M662" s="2"/>
    </row>
    <row r="663" spans="12:65" x14ac:dyDescent="0.25">
      <c r="L663" s="2">
        <v>504016</v>
      </c>
      <c r="M663" s="2" t="s">
        <v>52</v>
      </c>
      <c r="N663" s="2">
        <v>505839</v>
      </c>
      <c r="O663" t="s">
        <v>65</v>
      </c>
      <c r="P663">
        <v>3414398869</v>
      </c>
      <c r="Q663" s="5">
        <v>46044.931747685187</v>
      </c>
      <c r="R663" s="2" t="s">
        <v>54</v>
      </c>
      <c r="S663" s="2" t="s">
        <v>51</v>
      </c>
      <c r="T663" s="2" t="s">
        <v>55</v>
      </c>
      <c r="U663" s="2" t="s">
        <v>59</v>
      </c>
      <c r="V663" s="2" t="s">
        <v>57</v>
      </c>
      <c r="W663" s="2" t="s">
        <v>58</v>
      </c>
      <c r="X663" s="2" t="s">
        <v>59</v>
      </c>
      <c r="Y663" s="1">
        <v>455.99</v>
      </c>
      <c r="Z663" s="1">
        <v>455.99</v>
      </c>
      <c r="AA663" s="1">
        <v>34.99</v>
      </c>
      <c r="AB663" s="1">
        <v>22.8</v>
      </c>
      <c r="AC663" s="1">
        <v>0</v>
      </c>
      <c r="AD663" s="1">
        <v>63.095790000000001</v>
      </c>
      <c r="AE663" s="1">
        <v>513.78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40</v>
      </c>
      <c r="AM663" s="1">
        <v>30</v>
      </c>
      <c r="AN663" s="1">
        <v>4.2</v>
      </c>
      <c r="AO663" s="1">
        <v>7.9798249999999999</v>
      </c>
      <c r="AP663" s="1">
        <v>1.1171755000000001</v>
      </c>
      <c r="AQ663" s="1">
        <v>399.99122999999997</v>
      </c>
      <c r="AR663" s="1">
        <v>399.99122999999997</v>
      </c>
      <c r="AS663" s="1">
        <v>99.997810000000001</v>
      </c>
      <c r="AT663" s="1">
        <v>13.9996934</v>
      </c>
      <c r="AU663" s="1">
        <v>0</v>
      </c>
      <c r="AV663" s="2" t="s">
        <v>69</v>
      </c>
      <c r="AW663" s="1">
        <v>298.69499999999999</v>
      </c>
      <c r="AX663" s="1">
        <f>Table1[[#This Row],[Original Commissionable GMV]]-Table1[[#This Row],[Commission ]]-Table1[[#This Row],[Commission VAT]]-Table1[[#This Row],[FreeDeliveryFund]]</f>
        <v>285.99372659999995</v>
      </c>
      <c r="AY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M663" s="2"/>
    </row>
    <row r="664" spans="12:65" x14ac:dyDescent="0.25">
      <c r="L664" s="2">
        <v>504016</v>
      </c>
      <c r="M664" s="2" t="s">
        <v>52</v>
      </c>
      <c r="N664" s="2">
        <v>505837</v>
      </c>
      <c r="O664" t="s">
        <v>53</v>
      </c>
      <c r="P664">
        <v>3414406377</v>
      </c>
      <c r="Q664" s="5">
        <v>46044.935185185182</v>
      </c>
      <c r="R664" s="2" t="s">
        <v>54</v>
      </c>
      <c r="S664" s="2" t="s">
        <v>51</v>
      </c>
      <c r="T664" s="2" t="s">
        <v>55</v>
      </c>
      <c r="U664" s="2" t="s">
        <v>59</v>
      </c>
      <c r="V664" s="2" t="s">
        <v>57</v>
      </c>
      <c r="W664" s="2" t="s">
        <v>58</v>
      </c>
      <c r="X664" s="2" t="s">
        <v>59</v>
      </c>
      <c r="Y664" s="1">
        <v>2925.91</v>
      </c>
      <c r="Z664" s="1">
        <v>2925.91</v>
      </c>
      <c r="AA664" s="1">
        <v>0</v>
      </c>
      <c r="AB664" s="1">
        <v>29.99</v>
      </c>
      <c r="AC664" s="1">
        <v>0</v>
      </c>
      <c r="AD664" s="1">
        <v>363.00526000000002</v>
      </c>
      <c r="AE664" s="1">
        <v>2955.9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51.20342325</v>
      </c>
      <c r="AP664" s="1">
        <v>7.1684792550000003</v>
      </c>
      <c r="AQ664" s="1">
        <v>2566.58772</v>
      </c>
      <c r="AR664" s="1">
        <v>2566.58772</v>
      </c>
      <c r="AS664" s="1">
        <v>641.64693</v>
      </c>
      <c r="AT664" s="1">
        <v>89.830570199999997</v>
      </c>
      <c r="AU664" s="1">
        <v>32.99</v>
      </c>
      <c r="AV664" s="2" t="s">
        <v>60</v>
      </c>
      <c r="AW664" s="1">
        <v>2103.0709999999999</v>
      </c>
      <c r="AX664" s="1">
        <f>Table1[[#This Row],[Original Commissionable GMV]]-Table1[[#This Row],[Commission ]]-Table1[[#This Row],[Commission VAT]]-Table1[[#This Row],[FreeDeliveryFund]]</f>
        <v>1802.1202198000001</v>
      </c>
      <c r="AY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M664" s="2"/>
    </row>
    <row r="665" spans="12:65" x14ac:dyDescent="0.25">
      <c r="L665" s="2">
        <v>504016</v>
      </c>
      <c r="M665" s="2" t="s">
        <v>52</v>
      </c>
      <c r="N665" s="2">
        <v>505835</v>
      </c>
      <c r="O665" t="s">
        <v>63</v>
      </c>
      <c r="P665">
        <v>3414409953</v>
      </c>
      <c r="Q665" s="5">
        <v>46044.936805555553</v>
      </c>
      <c r="R665" s="2" t="s">
        <v>54</v>
      </c>
      <c r="S665" s="2" t="s">
        <v>51</v>
      </c>
      <c r="T665" s="2" t="s">
        <v>55</v>
      </c>
      <c r="U665" s="2" t="s">
        <v>59</v>
      </c>
      <c r="V665" s="2" t="s">
        <v>57</v>
      </c>
      <c r="W665" s="2" t="s">
        <v>58</v>
      </c>
      <c r="X665" s="2" t="s">
        <v>59</v>
      </c>
      <c r="Y665" s="1">
        <v>852.98</v>
      </c>
      <c r="Z665" s="1">
        <v>852.98</v>
      </c>
      <c r="AA665" s="1">
        <v>0</v>
      </c>
      <c r="AB665" s="1">
        <v>29.99</v>
      </c>
      <c r="AC665" s="1">
        <v>0</v>
      </c>
      <c r="AD665" s="1">
        <v>108.43491</v>
      </c>
      <c r="AE665" s="1">
        <v>882.97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14.927149999999999</v>
      </c>
      <c r="AP665" s="1">
        <v>2.089801</v>
      </c>
      <c r="AQ665" s="1">
        <v>748.22807</v>
      </c>
      <c r="AR665" s="1">
        <v>748.22807</v>
      </c>
      <c r="AS665" s="1">
        <v>187.05701999999999</v>
      </c>
      <c r="AT665" s="1">
        <v>26.1879828</v>
      </c>
      <c r="AU665" s="1">
        <v>30.99</v>
      </c>
      <c r="AV665" s="2" t="s">
        <v>60</v>
      </c>
      <c r="AW665" s="1">
        <v>591.72799999999995</v>
      </c>
      <c r="AX665" s="1">
        <f>Table1[[#This Row],[Original Commissionable GMV]]-Table1[[#This Row],[Commission ]]-Table1[[#This Row],[Commission VAT]]-Table1[[#This Row],[FreeDeliveryFund]]</f>
        <v>503.99306720000004</v>
      </c>
      <c r="AY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M665" s="2"/>
    </row>
    <row r="666" spans="12:65" x14ac:dyDescent="0.25">
      <c r="L666" s="2">
        <v>504016</v>
      </c>
      <c r="M666" s="2" t="s">
        <v>52</v>
      </c>
      <c r="N666" s="2">
        <v>505837</v>
      </c>
      <c r="O666" t="s">
        <v>53</v>
      </c>
      <c r="P666">
        <v>3414427133</v>
      </c>
      <c r="Q666" s="5">
        <v>46044.944837962961</v>
      </c>
      <c r="R666" s="2" t="s">
        <v>54</v>
      </c>
      <c r="S666" s="2" t="s">
        <v>51</v>
      </c>
      <c r="T666" s="2" t="s">
        <v>55</v>
      </c>
      <c r="U666" s="2" t="s">
        <v>56</v>
      </c>
      <c r="V666" s="2" t="s">
        <v>57</v>
      </c>
      <c r="W666" s="2" t="s">
        <v>58</v>
      </c>
      <c r="X666" s="2" t="s">
        <v>59</v>
      </c>
      <c r="Y666" s="1">
        <v>339.82</v>
      </c>
      <c r="Z666" s="1">
        <v>339.82</v>
      </c>
      <c r="AA666" s="1">
        <v>39.99</v>
      </c>
      <c r="AB666" s="1">
        <v>16.989999999999998</v>
      </c>
      <c r="AC666" s="1">
        <v>0</v>
      </c>
      <c r="AD666" s="1">
        <v>48.729819999999997</v>
      </c>
      <c r="AE666" s="1">
        <v>396.8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5.9468500000000004</v>
      </c>
      <c r="AP666" s="1">
        <v>0.83255900000000005</v>
      </c>
      <c r="AQ666" s="1">
        <v>298.08771999999999</v>
      </c>
      <c r="AR666" s="1">
        <v>298.08771999999999</v>
      </c>
      <c r="AS666" s="1">
        <v>74.521929999999998</v>
      </c>
      <c r="AT666" s="1">
        <v>10.4330702</v>
      </c>
      <c r="AU666" s="1">
        <v>0</v>
      </c>
      <c r="AV666" s="2" t="s">
        <v>69</v>
      </c>
      <c r="AW666" s="1">
        <v>248.08600000000001</v>
      </c>
      <c r="AX666" s="1">
        <f>Table1[[#This Row],[Original Commissionable GMV]]-Table1[[#This Row],[Commission ]]-Table1[[#This Row],[Commission VAT]]-Table1[[#This Row],[FreeDeliveryFund]]</f>
        <v>213.13271979999999</v>
      </c>
      <c r="AY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M666" s="2"/>
    </row>
    <row r="667" spans="12:65" x14ac:dyDescent="0.25">
      <c r="L667" s="2">
        <v>504016</v>
      </c>
      <c r="M667" s="2" t="s">
        <v>52</v>
      </c>
      <c r="N667" s="2">
        <v>505837</v>
      </c>
      <c r="O667" t="s">
        <v>53</v>
      </c>
      <c r="P667">
        <v>3414456898</v>
      </c>
      <c r="Q667" s="5">
        <v>46044.95957175926</v>
      </c>
      <c r="R667" s="2" t="s">
        <v>54</v>
      </c>
      <c r="S667" s="2" t="s">
        <v>51</v>
      </c>
      <c r="T667" s="2" t="s">
        <v>55</v>
      </c>
      <c r="U667" s="2" t="s">
        <v>56</v>
      </c>
      <c r="V667" s="2" t="s">
        <v>57</v>
      </c>
      <c r="W667" s="2" t="s">
        <v>58</v>
      </c>
      <c r="X667" s="2" t="s">
        <v>59</v>
      </c>
      <c r="Y667" s="1">
        <v>767.99</v>
      </c>
      <c r="Z667" s="1">
        <v>767.99</v>
      </c>
      <c r="AA667" s="1">
        <v>0</v>
      </c>
      <c r="AB667" s="1">
        <v>29.99</v>
      </c>
      <c r="AC667" s="1">
        <v>0</v>
      </c>
      <c r="AD667" s="1">
        <v>97.997540000000001</v>
      </c>
      <c r="AE667" s="1">
        <v>797.98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13.439825000000001</v>
      </c>
      <c r="AP667" s="1">
        <v>1.8815755000000001</v>
      </c>
      <c r="AQ667" s="1">
        <v>673.67543999999998</v>
      </c>
      <c r="AR667" s="1">
        <v>673.67543999999998</v>
      </c>
      <c r="AS667" s="1">
        <v>168.41886</v>
      </c>
      <c r="AT667" s="1">
        <v>23.578640400000001</v>
      </c>
      <c r="AU667" s="1">
        <v>32.99</v>
      </c>
      <c r="AV667" s="2" t="s">
        <v>60</v>
      </c>
      <c r="AW667" s="1">
        <v>527.68100000000004</v>
      </c>
      <c r="AX667" s="1">
        <f>Table1[[#This Row],[Original Commissionable GMV]]-Table1[[#This Row],[Commission ]]-Table1[[#This Row],[Commission VAT]]-Table1[[#This Row],[FreeDeliveryFund]]</f>
        <v>448.68793959999999</v>
      </c>
      <c r="AY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M667" s="2"/>
    </row>
    <row r="668" spans="12:65" x14ac:dyDescent="0.25">
      <c r="L668" s="2">
        <v>504016</v>
      </c>
      <c r="M668" s="2" t="s">
        <v>52</v>
      </c>
      <c r="N668" s="2">
        <v>505839</v>
      </c>
      <c r="O668" t="s">
        <v>53</v>
      </c>
      <c r="P668">
        <v>3414466005</v>
      </c>
      <c r="Q668" s="5">
        <v>46044.964421296296</v>
      </c>
      <c r="R668" s="2" t="s">
        <v>54</v>
      </c>
      <c r="S668" s="2" t="s">
        <v>51</v>
      </c>
      <c r="T668" s="2" t="s">
        <v>55</v>
      </c>
      <c r="U668" s="2" t="s">
        <v>56</v>
      </c>
      <c r="V668" s="2" t="s">
        <v>57</v>
      </c>
      <c r="W668" s="2" t="s">
        <v>58</v>
      </c>
      <c r="X668" s="2" t="s">
        <v>59</v>
      </c>
      <c r="Y668" s="1">
        <v>392.99</v>
      </c>
      <c r="Z668" s="1">
        <v>392.99</v>
      </c>
      <c r="AA668" s="1">
        <v>0</v>
      </c>
      <c r="AB668" s="1">
        <v>19.649999999999999</v>
      </c>
      <c r="AC668" s="1">
        <v>0</v>
      </c>
      <c r="AD668" s="1">
        <v>50.675089999999997</v>
      </c>
      <c r="AE668" s="1">
        <v>412.64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6.8773249999999999</v>
      </c>
      <c r="AP668" s="1">
        <v>0.9628255</v>
      </c>
      <c r="AQ668" s="1">
        <v>344.72807</v>
      </c>
      <c r="AR668" s="1">
        <v>344.72807</v>
      </c>
      <c r="AS668" s="1">
        <v>86.182019999999994</v>
      </c>
      <c r="AT668" s="1">
        <v>12.0654828</v>
      </c>
      <c r="AU668" s="1">
        <v>32.99</v>
      </c>
      <c r="AV668" s="2" t="s">
        <v>60</v>
      </c>
      <c r="AW668" s="1">
        <v>253.91200000000001</v>
      </c>
      <c r="AX668" s="1">
        <f>Table1[[#This Row],[Original Commissionable GMV]]-Table1[[#This Row],[Commission ]]-Table1[[#This Row],[Commission VAT]]-Table1[[#This Row],[FreeDeliveryFund]]</f>
        <v>213.49056720000002</v>
      </c>
      <c r="AY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M668" s="2"/>
    </row>
    <row r="669" spans="12:65" x14ac:dyDescent="0.25">
      <c r="L669" s="2">
        <v>504016</v>
      </c>
      <c r="M669" s="2" t="s">
        <v>52</v>
      </c>
      <c r="N669" s="2">
        <v>505837</v>
      </c>
      <c r="O669" t="s">
        <v>63</v>
      </c>
      <c r="P669">
        <v>3414935374</v>
      </c>
      <c r="Q669" s="5">
        <v>46045.460868055554</v>
      </c>
      <c r="R669" s="2" t="s">
        <v>54</v>
      </c>
      <c r="S669" s="2" t="s">
        <v>51</v>
      </c>
      <c r="T669" s="2" t="s">
        <v>55</v>
      </c>
      <c r="U669" s="2" t="s">
        <v>56</v>
      </c>
      <c r="V669" s="2" t="s">
        <v>57</v>
      </c>
      <c r="W669" s="2" t="s">
        <v>58</v>
      </c>
      <c r="X669" s="2" t="s">
        <v>59</v>
      </c>
      <c r="Y669" s="1">
        <v>239.99</v>
      </c>
      <c r="Z669" s="1">
        <v>239.99</v>
      </c>
      <c r="AA669" s="1">
        <v>7</v>
      </c>
      <c r="AB669" s="1">
        <v>12</v>
      </c>
      <c r="AC669" s="1">
        <v>0</v>
      </c>
      <c r="AD669" s="1">
        <v>31.805789999999998</v>
      </c>
      <c r="AE669" s="1">
        <v>258.99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4.1998249999999997</v>
      </c>
      <c r="AP669" s="1">
        <v>0.58797549999999998</v>
      </c>
      <c r="AQ669" s="1">
        <v>210.51754</v>
      </c>
      <c r="AR669" s="1">
        <v>210.51754</v>
      </c>
      <c r="AS669" s="1">
        <v>52.629390000000001</v>
      </c>
      <c r="AT669" s="1">
        <v>7.3681146000000002</v>
      </c>
      <c r="AU669" s="1">
        <v>29.99</v>
      </c>
      <c r="AV669" s="2" t="s">
        <v>60</v>
      </c>
      <c r="AW669" s="1">
        <v>145.215</v>
      </c>
      <c r="AX669" s="1">
        <f>Table1[[#This Row],[Original Commissionable GMV]]-Table1[[#This Row],[Commission ]]-Table1[[#This Row],[Commission VAT]]-Table1[[#This Row],[FreeDeliveryFund]]</f>
        <v>120.53003539999999</v>
      </c>
      <c r="AY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M669" s="2"/>
    </row>
    <row r="670" spans="12:65" x14ac:dyDescent="0.25">
      <c r="L670" s="2">
        <v>504016</v>
      </c>
      <c r="M670" s="2" t="s">
        <v>52</v>
      </c>
      <c r="N670" s="2">
        <v>505839</v>
      </c>
      <c r="O670" t="s">
        <v>65</v>
      </c>
      <c r="P670">
        <v>3415238757</v>
      </c>
      <c r="Q670" s="5">
        <v>46045.582812499997</v>
      </c>
      <c r="R670" s="2" t="s">
        <v>54</v>
      </c>
      <c r="S670" s="2" t="s">
        <v>51</v>
      </c>
      <c r="T670" s="2" t="s">
        <v>55</v>
      </c>
      <c r="U670" s="2" t="s">
        <v>59</v>
      </c>
      <c r="V670" s="2" t="s">
        <v>57</v>
      </c>
      <c r="W670" s="2" t="s">
        <v>58</v>
      </c>
      <c r="X670" s="2" t="s">
        <v>59</v>
      </c>
      <c r="Y670" s="1">
        <v>319.99</v>
      </c>
      <c r="Z670" s="1">
        <v>319.99</v>
      </c>
      <c r="AA670" s="1">
        <v>26.99</v>
      </c>
      <c r="AB670" s="1">
        <v>16</v>
      </c>
      <c r="AC670" s="1">
        <v>0</v>
      </c>
      <c r="AD670" s="1">
        <v>44.57649</v>
      </c>
      <c r="AE670" s="1">
        <v>362.98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5.5998250000000001</v>
      </c>
      <c r="AP670" s="1">
        <v>0.78397550000000005</v>
      </c>
      <c r="AQ670" s="1">
        <v>280.69297999999998</v>
      </c>
      <c r="AR670" s="1">
        <v>280.69297999999998</v>
      </c>
      <c r="AS670" s="1">
        <v>70.173249999999996</v>
      </c>
      <c r="AT670" s="1">
        <v>9.8242550000000008</v>
      </c>
      <c r="AU670" s="1">
        <v>0</v>
      </c>
      <c r="AV670" s="2" t="s">
        <v>69</v>
      </c>
      <c r="AW670" s="1">
        <v>233.60900000000001</v>
      </c>
      <c r="AX670" s="1">
        <f>Table1[[#This Row],[Original Commissionable GMV]]-Table1[[#This Row],[Commission ]]-Table1[[#This Row],[Commission VAT]]-Table1[[#This Row],[FreeDeliveryFund]]</f>
        <v>200.69547499999999</v>
      </c>
      <c r="AY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M670" s="2"/>
    </row>
    <row r="671" spans="12:65" x14ac:dyDescent="0.25">
      <c r="L671" s="2">
        <v>504016</v>
      </c>
      <c r="M671" s="2" t="s">
        <v>52</v>
      </c>
      <c r="N671" s="2">
        <v>505839</v>
      </c>
      <c r="O671" t="s">
        <v>53</v>
      </c>
      <c r="P671">
        <v>3415275396</v>
      </c>
      <c r="Q671" s="5">
        <v>46045.59715277778</v>
      </c>
      <c r="R671" s="2" t="s">
        <v>54</v>
      </c>
      <c r="S671" s="2" t="s">
        <v>51</v>
      </c>
      <c r="T671" s="2" t="s">
        <v>55</v>
      </c>
      <c r="U671" s="2" t="s">
        <v>56</v>
      </c>
      <c r="V671" s="2" t="s">
        <v>57</v>
      </c>
      <c r="W671" s="2" t="s">
        <v>58</v>
      </c>
      <c r="X671" s="2" t="s">
        <v>59</v>
      </c>
      <c r="Y671" s="1">
        <v>250.99</v>
      </c>
      <c r="Z671" s="1">
        <v>250.99</v>
      </c>
      <c r="AA671" s="1">
        <v>30.99</v>
      </c>
      <c r="AB671" s="1">
        <v>12.55</v>
      </c>
      <c r="AC671" s="1">
        <v>0</v>
      </c>
      <c r="AD671" s="1">
        <v>36.170349999999999</v>
      </c>
      <c r="AE671" s="1">
        <v>294.52999999999997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4.3923249999999996</v>
      </c>
      <c r="AP671" s="1">
        <v>0.61492550000000001</v>
      </c>
      <c r="AQ671" s="1">
        <v>220.16667000000001</v>
      </c>
      <c r="AR671" s="1">
        <v>220.16667000000001</v>
      </c>
      <c r="AS671" s="1">
        <v>55.041670000000003</v>
      </c>
      <c r="AT671" s="1">
        <v>7.7058337999999997</v>
      </c>
      <c r="AU671" s="1">
        <v>0</v>
      </c>
      <c r="AV671" s="2" t="s">
        <v>69</v>
      </c>
      <c r="AW671" s="1">
        <v>183.23500000000001</v>
      </c>
      <c r="AX671" s="1">
        <f>Table1[[#This Row],[Original Commissionable GMV]]-Table1[[#This Row],[Commission ]]-Table1[[#This Row],[Commission VAT]]-Table1[[#This Row],[FreeDeliveryFund]]</f>
        <v>157.41916620000001</v>
      </c>
      <c r="AY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M671" s="2"/>
    </row>
    <row r="672" spans="12:65" x14ac:dyDescent="0.25">
      <c r="L672" s="2">
        <v>504016</v>
      </c>
      <c r="M672" s="2" t="s">
        <v>52</v>
      </c>
      <c r="N672" s="2">
        <v>505839</v>
      </c>
      <c r="O672" t="s">
        <v>63</v>
      </c>
      <c r="P672">
        <v>3415311404</v>
      </c>
      <c r="Q672" s="5">
        <v>46045.611064814817</v>
      </c>
      <c r="R672" s="2" t="s">
        <v>54</v>
      </c>
      <c r="S672" s="2" t="s">
        <v>51</v>
      </c>
      <c r="T672" s="2" t="s">
        <v>55</v>
      </c>
      <c r="U672" s="2" t="s">
        <v>59</v>
      </c>
      <c r="V672" s="2" t="s">
        <v>57</v>
      </c>
      <c r="W672" s="2" t="s">
        <v>58</v>
      </c>
      <c r="X672" s="2" t="s">
        <v>59</v>
      </c>
      <c r="Y672" s="1">
        <v>1189.98</v>
      </c>
      <c r="Z672" s="1">
        <v>1189.98</v>
      </c>
      <c r="AA672" s="1">
        <v>29.99</v>
      </c>
      <c r="AB672" s="1">
        <v>29.99</v>
      </c>
      <c r="AC672" s="1">
        <v>0</v>
      </c>
      <c r="AD672" s="1">
        <v>153.50386</v>
      </c>
      <c r="AE672" s="1">
        <v>1249.96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20.824649999999998</v>
      </c>
      <c r="AP672" s="1">
        <v>2.915451</v>
      </c>
      <c r="AQ672" s="1">
        <v>1043.84211</v>
      </c>
      <c r="AR672" s="1">
        <v>1043.84211</v>
      </c>
      <c r="AS672" s="1">
        <v>260.96053000000001</v>
      </c>
      <c r="AT672" s="1">
        <v>36.534474199999998</v>
      </c>
      <c r="AU672" s="1">
        <v>0</v>
      </c>
      <c r="AV672" s="2" t="s">
        <v>69</v>
      </c>
      <c r="AW672" s="1">
        <v>868.745</v>
      </c>
      <c r="AX672" s="1">
        <f>Table1[[#This Row],[Original Commissionable GMV]]-Table1[[#This Row],[Commission ]]-Table1[[#This Row],[Commission VAT]]-Table1[[#This Row],[FreeDeliveryFund]]</f>
        <v>746.34710580000001</v>
      </c>
      <c r="AY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M672" s="2"/>
    </row>
    <row r="673" spans="12:65" x14ac:dyDescent="0.25">
      <c r="L673" s="2">
        <v>504016</v>
      </c>
      <c r="M673" s="2" t="s">
        <v>52</v>
      </c>
      <c r="N673" s="2">
        <v>505835</v>
      </c>
      <c r="O673" t="s">
        <v>53</v>
      </c>
      <c r="P673">
        <v>3415371482</v>
      </c>
      <c r="Q673" s="5">
        <v>46045.633958333332</v>
      </c>
      <c r="R673" s="2" t="s">
        <v>54</v>
      </c>
      <c r="S673" s="2" t="s">
        <v>51</v>
      </c>
      <c r="T673" s="2" t="s">
        <v>55</v>
      </c>
      <c r="U673" s="2" t="s">
        <v>56</v>
      </c>
      <c r="V673" s="2" t="s">
        <v>57</v>
      </c>
      <c r="W673" s="2" t="s">
        <v>58</v>
      </c>
      <c r="X673" s="2" t="s">
        <v>59</v>
      </c>
      <c r="Y673" s="1">
        <v>1024.56</v>
      </c>
      <c r="Z673" s="1">
        <v>1024.56</v>
      </c>
      <c r="AA673" s="1">
        <v>0</v>
      </c>
      <c r="AB673" s="1">
        <v>29.99</v>
      </c>
      <c r="AC673" s="1">
        <v>0</v>
      </c>
      <c r="AD673" s="1">
        <v>129.50613999999999</v>
      </c>
      <c r="AE673" s="1">
        <v>1054.55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17.9298</v>
      </c>
      <c r="AP673" s="1">
        <v>2.5101719999999998</v>
      </c>
      <c r="AQ673" s="1">
        <v>898.73684000000003</v>
      </c>
      <c r="AR673" s="1">
        <v>898.73684000000003</v>
      </c>
      <c r="AS673" s="1">
        <v>224.68421000000001</v>
      </c>
      <c r="AT673" s="1">
        <v>31.4557894</v>
      </c>
      <c r="AU673" s="1">
        <v>33.99</v>
      </c>
      <c r="AV673" s="2" t="s">
        <v>60</v>
      </c>
      <c r="AW673" s="1">
        <v>713.99</v>
      </c>
      <c r="AX673" s="1">
        <f>Table1[[#This Row],[Original Commissionable GMV]]-Table1[[#This Row],[Commission ]]-Table1[[#This Row],[Commission VAT]]-Table1[[#This Row],[FreeDeliveryFund]]</f>
        <v>608.60684060000006</v>
      </c>
      <c r="AY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M673" s="2"/>
    </row>
    <row r="674" spans="12:65" x14ac:dyDescent="0.25">
      <c r="L674" s="2">
        <v>504016</v>
      </c>
      <c r="M674" s="2" t="s">
        <v>52</v>
      </c>
      <c r="N674" s="2">
        <v>505839</v>
      </c>
      <c r="O674" t="s">
        <v>53</v>
      </c>
      <c r="P674">
        <v>3415535098</v>
      </c>
      <c r="Q674" s="5">
        <v>46045.692349537036</v>
      </c>
      <c r="R674" s="2" t="s">
        <v>54</v>
      </c>
      <c r="S674" s="2" t="s">
        <v>51</v>
      </c>
      <c r="T674" s="2" t="s">
        <v>55</v>
      </c>
      <c r="U674" s="2" t="s">
        <v>56</v>
      </c>
      <c r="V674" s="2" t="s">
        <v>57</v>
      </c>
      <c r="W674" s="2" t="s">
        <v>58</v>
      </c>
      <c r="X674" s="2" t="s">
        <v>59</v>
      </c>
      <c r="Y674" s="1">
        <v>866.66</v>
      </c>
      <c r="Z674" s="1">
        <v>866.66</v>
      </c>
      <c r="AA674" s="1">
        <v>0</v>
      </c>
      <c r="AB674" s="1">
        <v>29.99</v>
      </c>
      <c r="AC674" s="1">
        <v>0</v>
      </c>
      <c r="AD674" s="1">
        <v>110.11490999999999</v>
      </c>
      <c r="AE674" s="1">
        <v>896.65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15.166550000000001</v>
      </c>
      <c r="AP674" s="1">
        <v>2.1233170000000001</v>
      </c>
      <c r="AQ674" s="1">
        <v>760.22807</v>
      </c>
      <c r="AR674" s="1">
        <v>760.22807</v>
      </c>
      <c r="AS674" s="1">
        <v>190.05701999999999</v>
      </c>
      <c r="AT674" s="1">
        <v>26.607982799999998</v>
      </c>
      <c r="AU674" s="1">
        <v>34.99</v>
      </c>
      <c r="AV674" s="2" t="s">
        <v>60</v>
      </c>
      <c r="AW674" s="1">
        <v>597.71500000000003</v>
      </c>
      <c r="AX674" s="1">
        <f>Table1[[#This Row],[Original Commissionable GMV]]-Table1[[#This Row],[Commission ]]-Table1[[#This Row],[Commission VAT]]-Table1[[#This Row],[FreeDeliveryFund]]</f>
        <v>508.57306720000008</v>
      </c>
      <c r="AY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M674" s="2"/>
    </row>
    <row r="675" spans="12:65" x14ac:dyDescent="0.25">
      <c r="L675" s="2">
        <v>504016</v>
      </c>
      <c r="M675" s="2" t="s">
        <v>52</v>
      </c>
      <c r="N675" s="2">
        <v>505837</v>
      </c>
      <c r="O675" t="s">
        <v>53</v>
      </c>
      <c r="P675">
        <v>3415600376</v>
      </c>
      <c r="Q675" s="5">
        <v>46045.712962962964</v>
      </c>
      <c r="R675" s="2" t="s">
        <v>54</v>
      </c>
      <c r="S675" s="2" t="s">
        <v>51</v>
      </c>
      <c r="T675" s="2" t="s">
        <v>55</v>
      </c>
      <c r="U675" s="2" t="s">
        <v>59</v>
      </c>
      <c r="V675" s="2" t="s">
        <v>57</v>
      </c>
      <c r="W675" s="2" t="s">
        <v>58</v>
      </c>
      <c r="X675" s="2" t="s">
        <v>59</v>
      </c>
      <c r="Y675" s="1">
        <v>929.97</v>
      </c>
      <c r="Z675" s="1">
        <v>929.97</v>
      </c>
      <c r="AA675" s="1">
        <v>0</v>
      </c>
      <c r="AB675" s="1">
        <v>29.99</v>
      </c>
      <c r="AC675" s="1">
        <v>0</v>
      </c>
      <c r="AD675" s="1">
        <v>117.88982</v>
      </c>
      <c r="AE675" s="1">
        <v>959.96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16.274474999999999</v>
      </c>
      <c r="AP675" s="1">
        <v>2.2784265000000001</v>
      </c>
      <c r="AQ675" s="1">
        <v>815.76315999999997</v>
      </c>
      <c r="AR675" s="1">
        <v>815.76315999999997</v>
      </c>
      <c r="AS675" s="1">
        <v>203.94078999999999</v>
      </c>
      <c r="AT675" s="1">
        <v>28.5517106</v>
      </c>
      <c r="AU675" s="1">
        <v>34.99</v>
      </c>
      <c r="AV675" s="2" t="s">
        <v>60</v>
      </c>
      <c r="AW675" s="1">
        <v>643.93499999999995</v>
      </c>
      <c r="AX675" s="1">
        <f>Table1[[#This Row],[Original Commissionable GMV]]-Table1[[#This Row],[Commission ]]-Table1[[#This Row],[Commission VAT]]-Table1[[#This Row],[FreeDeliveryFund]]</f>
        <v>548.28065939999999</v>
      </c>
      <c r="AY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M675" s="2"/>
    </row>
    <row r="676" spans="12:65" x14ac:dyDescent="0.25">
      <c r="L676" s="2">
        <v>504016</v>
      </c>
      <c r="M676" s="2" t="s">
        <v>52</v>
      </c>
      <c r="N676" s="2">
        <v>505839</v>
      </c>
      <c r="O676" t="s">
        <v>63</v>
      </c>
      <c r="P676">
        <v>3415674764</v>
      </c>
      <c r="Q676" s="5">
        <v>46045.735520833332</v>
      </c>
      <c r="R676" s="2" t="s">
        <v>54</v>
      </c>
      <c r="S676" s="2" t="s">
        <v>51</v>
      </c>
      <c r="T676" s="2" t="s">
        <v>55</v>
      </c>
      <c r="U676" s="2" t="s">
        <v>56</v>
      </c>
      <c r="V676" s="2" t="s">
        <v>57</v>
      </c>
      <c r="W676" s="2" t="s">
        <v>58</v>
      </c>
      <c r="X676" s="2" t="s">
        <v>59</v>
      </c>
      <c r="Y676" s="1">
        <v>639.98</v>
      </c>
      <c r="Z676" s="1">
        <v>639.98</v>
      </c>
      <c r="AA676" s="1">
        <v>28.99</v>
      </c>
      <c r="AB676" s="1">
        <v>29.99</v>
      </c>
      <c r="AC676" s="1">
        <v>0</v>
      </c>
      <c r="AD676" s="1">
        <v>85.837190000000007</v>
      </c>
      <c r="AE676" s="1">
        <v>698.96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11.19965</v>
      </c>
      <c r="AP676" s="1">
        <v>1.5679510000000001</v>
      </c>
      <c r="AQ676" s="1">
        <v>561.38595999999995</v>
      </c>
      <c r="AR676" s="1">
        <v>561.38595999999995</v>
      </c>
      <c r="AS676" s="1">
        <v>140.34648999999999</v>
      </c>
      <c r="AT676" s="1">
        <v>19.6485086</v>
      </c>
      <c r="AU676" s="1">
        <v>0</v>
      </c>
      <c r="AV676" s="2" t="s">
        <v>69</v>
      </c>
      <c r="AW676" s="1">
        <v>467.21699999999998</v>
      </c>
      <c r="AX676" s="1">
        <f>Table1[[#This Row],[Original Commissionable GMV]]-Table1[[#This Row],[Commission ]]-Table1[[#This Row],[Commission VAT]]-Table1[[#This Row],[FreeDeliveryFund]]</f>
        <v>401.39096139999992</v>
      </c>
      <c r="AY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M676" s="2"/>
    </row>
    <row r="677" spans="12:65" x14ac:dyDescent="0.25">
      <c r="L677" s="2">
        <v>504016</v>
      </c>
      <c r="M677" s="2" t="s">
        <v>52</v>
      </c>
      <c r="N677" s="2">
        <v>505839</v>
      </c>
      <c r="O677" t="s">
        <v>63</v>
      </c>
      <c r="P677">
        <v>3415680280</v>
      </c>
      <c r="Q677" s="5">
        <v>46045.737129629626</v>
      </c>
      <c r="R677" s="2" t="s">
        <v>54</v>
      </c>
      <c r="S677" s="2" t="s">
        <v>51</v>
      </c>
      <c r="T677" s="2" t="s">
        <v>55</v>
      </c>
      <c r="U677" s="2" t="s">
        <v>59</v>
      </c>
      <c r="V677" s="2" t="s">
        <v>57</v>
      </c>
      <c r="W677" s="2" t="s">
        <v>58</v>
      </c>
      <c r="X677" s="2" t="s">
        <v>59</v>
      </c>
      <c r="Y677" s="1">
        <v>353.99</v>
      </c>
      <c r="Z677" s="1">
        <v>353.99</v>
      </c>
      <c r="AA677" s="1">
        <v>0</v>
      </c>
      <c r="AB677" s="1">
        <v>17.7</v>
      </c>
      <c r="AC677" s="1">
        <v>0</v>
      </c>
      <c r="AD677" s="1">
        <v>45.646140000000003</v>
      </c>
      <c r="AE677" s="1">
        <v>371.69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6.1948249999999998</v>
      </c>
      <c r="AP677" s="1">
        <v>0.86727549999999998</v>
      </c>
      <c r="AQ677" s="1">
        <v>310.51754</v>
      </c>
      <c r="AR677" s="1">
        <v>310.51754</v>
      </c>
      <c r="AS677" s="1">
        <v>77.629390000000001</v>
      </c>
      <c r="AT677" s="1">
        <v>10.8681146</v>
      </c>
      <c r="AU677" s="1">
        <v>26.99</v>
      </c>
      <c r="AV677" s="2" t="s">
        <v>60</v>
      </c>
      <c r="AW677" s="1">
        <v>231.44</v>
      </c>
      <c r="AX677" s="1">
        <f>Table1[[#This Row],[Original Commissionable GMV]]-Table1[[#This Row],[Commission ]]-Table1[[#This Row],[Commission VAT]]-Table1[[#This Row],[FreeDeliveryFund]]</f>
        <v>195.03003539999997</v>
      </c>
      <c r="AY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M677" s="2"/>
    </row>
    <row r="678" spans="12:65" x14ac:dyDescent="0.25">
      <c r="L678" s="2">
        <v>504016</v>
      </c>
      <c r="M678" s="2" t="s">
        <v>52</v>
      </c>
      <c r="N678" s="2">
        <v>505839</v>
      </c>
      <c r="O678" t="s">
        <v>65</v>
      </c>
      <c r="P678">
        <v>3415728211</v>
      </c>
      <c r="Q678" s="5">
        <v>46045.751192129632</v>
      </c>
      <c r="R678" s="2" t="s">
        <v>62</v>
      </c>
      <c r="S678" s="2" t="s">
        <v>51</v>
      </c>
      <c r="T678" s="2" t="s">
        <v>55</v>
      </c>
      <c r="U678" s="2" t="s">
        <v>56</v>
      </c>
      <c r="V678" s="2" t="s">
        <v>57</v>
      </c>
      <c r="W678" s="2" t="s">
        <v>58</v>
      </c>
      <c r="X678" s="2" t="s">
        <v>59</v>
      </c>
      <c r="Y678" s="1">
        <v>392.83</v>
      </c>
      <c r="Z678" s="1">
        <v>392.83</v>
      </c>
      <c r="AA678" s="1">
        <v>29.99</v>
      </c>
      <c r="AB678" s="1">
        <v>19.64</v>
      </c>
      <c r="AC678" s="1">
        <v>0</v>
      </c>
      <c r="AD678" s="1">
        <v>54.33719</v>
      </c>
      <c r="AE678" s="1">
        <v>442.46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344.58771999999999</v>
      </c>
      <c r="AR678" s="1">
        <v>344.58771999999999</v>
      </c>
      <c r="AS678" s="1">
        <v>86.146929999999998</v>
      </c>
      <c r="AT678" s="1">
        <v>12.060570200000001</v>
      </c>
      <c r="AU678" s="1">
        <v>0</v>
      </c>
      <c r="AV678" s="2" t="s">
        <v>69</v>
      </c>
      <c r="AW678" s="1">
        <v>294.62200000000001</v>
      </c>
      <c r="AX678" s="1">
        <f>Table1[[#This Row],[Original Commissionable GMV]]-Table1[[#This Row],[Commission ]]-Table1[[#This Row],[Commission VAT]]-Table1[[#This Row],[FreeDeliveryFund]]</f>
        <v>246.38021979999999</v>
      </c>
      <c r="AY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M678" s="2"/>
    </row>
    <row r="679" spans="12:65" x14ac:dyDescent="0.25">
      <c r="L679" s="2">
        <v>504016</v>
      </c>
      <c r="M679" s="2" t="s">
        <v>52</v>
      </c>
      <c r="N679" s="2">
        <v>505839</v>
      </c>
      <c r="O679" t="s">
        <v>63</v>
      </c>
      <c r="P679">
        <v>3415734974</v>
      </c>
      <c r="Q679" s="5">
        <v>46045.753113425926</v>
      </c>
      <c r="R679" s="2" t="s">
        <v>54</v>
      </c>
      <c r="S679" s="2" t="s">
        <v>51</v>
      </c>
      <c r="T679" s="2" t="s">
        <v>55</v>
      </c>
      <c r="U679" s="2" t="s">
        <v>56</v>
      </c>
      <c r="V679" s="2" t="s">
        <v>57</v>
      </c>
      <c r="W679" s="2" t="s">
        <v>58</v>
      </c>
      <c r="X679" s="2" t="s">
        <v>59</v>
      </c>
      <c r="Y679" s="1">
        <v>808.98</v>
      </c>
      <c r="Z679" s="1">
        <v>808.98</v>
      </c>
      <c r="AA679" s="1">
        <v>28.99</v>
      </c>
      <c r="AB679" s="1">
        <v>29.99</v>
      </c>
      <c r="AC679" s="1">
        <v>0</v>
      </c>
      <c r="AD679" s="1">
        <v>106.59157999999999</v>
      </c>
      <c r="AE679" s="1">
        <v>867.96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30</v>
      </c>
      <c r="AN679" s="1">
        <v>4.2</v>
      </c>
      <c r="AO679" s="1">
        <v>14.15715</v>
      </c>
      <c r="AP679" s="1">
        <v>1.9820009999999999</v>
      </c>
      <c r="AQ679" s="1">
        <v>709.63157999999999</v>
      </c>
      <c r="AR679" s="1">
        <v>709.63157999999999</v>
      </c>
      <c r="AS679" s="1">
        <v>177.40790000000001</v>
      </c>
      <c r="AT679" s="1">
        <v>24.837105999999999</v>
      </c>
      <c r="AU679" s="1">
        <v>0</v>
      </c>
      <c r="AV679" s="2" t="s">
        <v>69</v>
      </c>
      <c r="AW679" s="1">
        <v>556.39599999999996</v>
      </c>
      <c r="AX679" s="1">
        <f>Table1[[#This Row],[Original Commissionable GMV]]-Table1[[#This Row],[Commission ]]-Table1[[#This Row],[Commission VAT]]-Table1[[#This Row],[FreeDeliveryFund]]</f>
        <v>507.38657399999994</v>
      </c>
      <c r="AY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M679" s="2"/>
    </row>
    <row r="680" spans="12:65" x14ac:dyDescent="0.25">
      <c r="L680" s="2">
        <v>504016</v>
      </c>
      <c r="M680" s="2" t="s">
        <v>52</v>
      </c>
      <c r="N680" s="2">
        <v>505839</v>
      </c>
      <c r="O680" t="s">
        <v>65</v>
      </c>
      <c r="P680">
        <v>3415775994</v>
      </c>
      <c r="Q680" s="5">
        <v>46045.764861111114</v>
      </c>
      <c r="R680" s="2" t="s">
        <v>54</v>
      </c>
      <c r="S680" s="2" t="s">
        <v>51</v>
      </c>
      <c r="T680" s="2" t="s">
        <v>55</v>
      </c>
      <c r="U680" s="2" t="s">
        <v>56</v>
      </c>
      <c r="V680" s="2" t="s">
        <v>57</v>
      </c>
      <c r="W680" s="2" t="s">
        <v>58</v>
      </c>
      <c r="X680" s="2" t="s">
        <v>59</v>
      </c>
      <c r="Y680" s="1">
        <v>352.99</v>
      </c>
      <c r="Z680" s="1">
        <v>352.99</v>
      </c>
      <c r="AA680" s="1">
        <v>0</v>
      </c>
      <c r="AB680" s="1">
        <v>17.649999999999999</v>
      </c>
      <c r="AC680" s="1">
        <v>0</v>
      </c>
      <c r="AD680" s="1">
        <v>45.517189999999999</v>
      </c>
      <c r="AE680" s="1">
        <v>370.64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100</v>
      </c>
      <c r="AM680" s="1">
        <v>0</v>
      </c>
      <c r="AN680" s="1">
        <v>0</v>
      </c>
      <c r="AO680" s="1">
        <v>6.1773249999999997</v>
      </c>
      <c r="AP680" s="1">
        <v>0.86482550000000002</v>
      </c>
      <c r="AQ680" s="1">
        <v>309.64035000000001</v>
      </c>
      <c r="AR680" s="1">
        <v>309.64035000000001</v>
      </c>
      <c r="AS680" s="1">
        <v>77.410089999999997</v>
      </c>
      <c r="AT680" s="1">
        <v>10.8374126</v>
      </c>
      <c r="AU680" s="1">
        <v>28.99</v>
      </c>
      <c r="AV680" s="2" t="s">
        <v>60</v>
      </c>
      <c r="AW680" s="1">
        <v>228.71</v>
      </c>
      <c r="AX680" s="1">
        <f>Table1[[#This Row],[Original Commissionable GMV]]-Table1[[#This Row],[Commission ]]-Table1[[#This Row],[Commission VAT]]-Table1[[#This Row],[FreeDeliveryFund]]</f>
        <v>192.40284740000001</v>
      </c>
      <c r="AY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M680" s="2"/>
    </row>
    <row r="681" spans="12:65" x14ac:dyDescent="0.25">
      <c r="L681" s="2">
        <v>504016</v>
      </c>
      <c r="M681" s="2" t="s">
        <v>52</v>
      </c>
      <c r="N681" s="2">
        <v>505839</v>
      </c>
      <c r="O681" t="s">
        <v>53</v>
      </c>
      <c r="P681">
        <v>3415805714</v>
      </c>
      <c r="Q681" s="5">
        <v>46045.773356481484</v>
      </c>
      <c r="R681" s="2" t="s">
        <v>54</v>
      </c>
      <c r="S681" s="2" t="s">
        <v>51</v>
      </c>
      <c r="T681" s="2" t="s">
        <v>55</v>
      </c>
      <c r="U681" s="2" t="s">
        <v>59</v>
      </c>
      <c r="V681" s="2" t="s">
        <v>57</v>
      </c>
      <c r="W681" s="2" t="s">
        <v>58</v>
      </c>
      <c r="X681" s="2" t="s">
        <v>59</v>
      </c>
      <c r="Y681" s="1">
        <v>1846.62</v>
      </c>
      <c r="Z681" s="1">
        <v>1846.62</v>
      </c>
      <c r="AA681" s="1">
        <v>39.99</v>
      </c>
      <c r="AB681" s="1">
        <v>29.99</v>
      </c>
      <c r="AC681" s="1">
        <v>0</v>
      </c>
      <c r="AD681" s="1">
        <v>235.37192999999999</v>
      </c>
      <c r="AE681" s="1">
        <v>1916.6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32.315849999999998</v>
      </c>
      <c r="AP681" s="1">
        <v>4.5242190000000004</v>
      </c>
      <c r="AQ681" s="1">
        <v>1619.84211</v>
      </c>
      <c r="AR681" s="1">
        <v>1619.84211</v>
      </c>
      <c r="AS681" s="1">
        <v>404.96053000000001</v>
      </c>
      <c r="AT681" s="1">
        <v>56.694474200000002</v>
      </c>
      <c r="AU681" s="1">
        <v>0</v>
      </c>
      <c r="AV681" s="2" t="s">
        <v>69</v>
      </c>
      <c r="AW681" s="1">
        <v>1348.125</v>
      </c>
      <c r="AX681" s="1">
        <f>Table1[[#This Row],[Original Commissionable GMV]]-Table1[[#This Row],[Commission ]]-Table1[[#This Row],[Commission VAT]]-Table1[[#This Row],[FreeDeliveryFund]]</f>
        <v>1158.1871057999999</v>
      </c>
      <c r="AY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M681" s="2"/>
    </row>
    <row r="682" spans="12:65" x14ac:dyDescent="0.25">
      <c r="L682" s="2">
        <v>504016</v>
      </c>
      <c r="M682" s="2" t="s">
        <v>52</v>
      </c>
      <c r="N682" s="2">
        <v>505835</v>
      </c>
      <c r="O682" t="s">
        <v>63</v>
      </c>
      <c r="P682">
        <v>3415818737</v>
      </c>
      <c r="Q682" s="5">
        <v>46045.777118055557</v>
      </c>
      <c r="R682" s="2" t="s">
        <v>54</v>
      </c>
      <c r="S682" s="2" t="s">
        <v>51</v>
      </c>
      <c r="T682" s="2" t="s">
        <v>55</v>
      </c>
      <c r="U682" s="2" t="s">
        <v>59</v>
      </c>
      <c r="V682" s="2" t="s">
        <v>57</v>
      </c>
      <c r="W682" s="2" t="s">
        <v>58</v>
      </c>
      <c r="X682" s="2" t="s">
        <v>59</v>
      </c>
      <c r="Y682" s="1">
        <v>389.99</v>
      </c>
      <c r="Z682" s="1">
        <v>389.99</v>
      </c>
      <c r="AA682" s="1">
        <v>29.99</v>
      </c>
      <c r="AB682" s="1">
        <v>19.5</v>
      </c>
      <c r="AC682" s="1">
        <v>0</v>
      </c>
      <c r="AD682" s="1">
        <v>53.971229999999998</v>
      </c>
      <c r="AE682" s="1">
        <v>439.48</v>
      </c>
      <c r="AG682" s="1">
        <v>0</v>
      </c>
      <c r="AH682" s="1">
        <v>0</v>
      </c>
      <c r="AI682" s="1">
        <v>0</v>
      </c>
      <c r="AJ682" s="1">
        <v>80</v>
      </c>
      <c r="AK682" s="1">
        <v>0</v>
      </c>
      <c r="AL682" s="1">
        <v>0</v>
      </c>
      <c r="AM682" s="1">
        <v>0</v>
      </c>
      <c r="AN682" s="1">
        <v>0</v>
      </c>
      <c r="AO682" s="1">
        <v>6.8248249999999997</v>
      </c>
      <c r="AP682" s="1">
        <v>0.95547550000000003</v>
      </c>
      <c r="AQ682" s="1">
        <v>342.09649000000002</v>
      </c>
      <c r="AR682" s="1">
        <v>342.09649000000002</v>
      </c>
      <c r="AS682" s="1">
        <v>85.524119999999996</v>
      </c>
      <c r="AT682" s="1">
        <v>11.9733768</v>
      </c>
      <c r="AU682" s="1">
        <v>0</v>
      </c>
      <c r="AV682" s="2" t="s">
        <v>69</v>
      </c>
      <c r="AW682" s="1">
        <v>284.71199999999999</v>
      </c>
      <c r="AX682" s="1">
        <f>Table1[[#This Row],[Original Commissionable GMV]]-Table1[[#This Row],[Commission ]]-Table1[[#This Row],[Commission VAT]]-Table1[[#This Row],[FreeDeliveryFund]]</f>
        <v>244.59899320000002</v>
      </c>
      <c r="AY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M682" s="2"/>
    </row>
    <row r="683" spans="12:65" x14ac:dyDescent="0.25">
      <c r="L683" s="2">
        <v>504016</v>
      </c>
      <c r="M683" s="2" t="s">
        <v>52</v>
      </c>
      <c r="N683" s="2">
        <v>505837</v>
      </c>
      <c r="O683" t="s">
        <v>53</v>
      </c>
      <c r="P683">
        <v>3415836023</v>
      </c>
      <c r="Q683" s="5">
        <v>46045.782048611109</v>
      </c>
      <c r="R683" s="2" t="s">
        <v>54</v>
      </c>
      <c r="S683" s="2" t="s">
        <v>51</v>
      </c>
      <c r="T683" s="2" t="s">
        <v>55</v>
      </c>
      <c r="U683" s="2" t="s">
        <v>59</v>
      </c>
      <c r="V683" s="2" t="s">
        <v>57</v>
      </c>
      <c r="W683" s="2" t="s">
        <v>58</v>
      </c>
      <c r="X683" s="2" t="s">
        <v>59</v>
      </c>
      <c r="Y683" s="1">
        <v>363.99</v>
      </c>
      <c r="Z683" s="1">
        <v>363.99</v>
      </c>
      <c r="AA683" s="1">
        <v>0</v>
      </c>
      <c r="AB683" s="1">
        <v>18.2</v>
      </c>
      <c r="AC683" s="1">
        <v>0</v>
      </c>
      <c r="AD683" s="1">
        <v>46.935609999999997</v>
      </c>
      <c r="AE683" s="1">
        <v>382.19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6.3698249999999996</v>
      </c>
      <c r="AP683" s="1">
        <v>0.89177550000000005</v>
      </c>
      <c r="AQ683" s="1">
        <v>319.28946999999999</v>
      </c>
      <c r="AR683" s="1">
        <v>319.28946999999999</v>
      </c>
      <c r="AS683" s="1">
        <v>79.822370000000006</v>
      </c>
      <c r="AT683" s="1">
        <v>11.175131800000001</v>
      </c>
      <c r="AU683" s="1">
        <v>34.99</v>
      </c>
      <c r="AV683" s="2" t="s">
        <v>60</v>
      </c>
      <c r="AW683" s="1">
        <v>230.74100000000001</v>
      </c>
      <c r="AX683" s="1">
        <f>Table1[[#This Row],[Original Commissionable GMV]]-Table1[[#This Row],[Commission ]]-Table1[[#This Row],[Commission VAT]]-Table1[[#This Row],[FreeDeliveryFund]]</f>
        <v>193.30196819999998</v>
      </c>
      <c r="AY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M683" s="2"/>
    </row>
    <row r="684" spans="12:65" x14ac:dyDescent="0.25">
      <c r="L684" s="2">
        <v>504016</v>
      </c>
      <c r="M684" s="2" t="s">
        <v>52</v>
      </c>
      <c r="N684" s="2">
        <v>505837</v>
      </c>
      <c r="O684" t="s">
        <v>53</v>
      </c>
      <c r="P684">
        <v>3415868499</v>
      </c>
      <c r="Q684" s="5">
        <v>46045.791273148148</v>
      </c>
      <c r="R684" s="2" t="s">
        <v>54</v>
      </c>
      <c r="S684" s="2" t="s">
        <v>51</v>
      </c>
      <c r="T684" s="2" t="s">
        <v>55</v>
      </c>
      <c r="U684" s="2" t="s">
        <v>56</v>
      </c>
      <c r="V684" s="2" t="s">
        <v>57</v>
      </c>
      <c r="W684" s="2" t="s">
        <v>58</v>
      </c>
      <c r="X684" s="2" t="s">
        <v>59</v>
      </c>
      <c r="Y684" s="1">
        <v>636.91999999999996</v>
      </c>
      <c r="Z684" s="1">
        <v>636.91999999999996</v>
      </c>
      <c r="AA684" s="1">
        <v>0</v>
      </c>
      <c r="AB684" s="1">
        <v>29.99</v>
      </c>
      <c r="AC684" s="1">
        <v>0</v>
      </c>
      <c r="AD684" s="1">
        <v>81.901229999999998</v>
      </c>
      <c r="AE684" s="1">
        <v>666.91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11.146100000000001</v>
      </c>
      <c r="AP684" s="1">
        <v>1.560454</v>
      </c>
      <c r="AQ684" s="1">
        <v>558.70174999999995</v>
      </c>
      <c r="AR684" s="1">
        <v>558.70174999999995</v>
      </c>
      <c r="AS684" s="1">
        <v>139.67544000000001</v>
      </c>
      <c r="AT684" s="1">
        <v>19.5545616</v>
      </c>
      <c r="AU684" s="1">
        <v>30.99</v>
      </c>
      <c r="AV684" s="2" t="s">
        <v>60</v>
      </c>
      <c r="AW684" s="1">
        <v>433.99299999999999</v>
      </c>
      <c r="AX684" s="1">
        <f>Table1[[#This Row],[Original Commissionable GMV]]-Table1[[#This Row],[Commission ]]-Table1[[#This Row],[Commission VAT]]-Table1[[#This Row],[FreeDeliveryFund]]</f>
        <v>368.48174839999996</v>
      </c>
      <c r="AY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M684" s="2"/>
    </row>
    <row r="685" spans="12:65" x14ac:dyDescent="0.25">
      <c r="L685" s="2">
        <v>504016</v>
      </c>
      <c r="M685" s="2" t="s">
        <v>52</v>
      </c>
      <c r="N685" s="2">
        <v>505837</v>
      </c>
      <c r="O685" t="s">
        <v>53</v>
      </c>
      <c r="P685">
        <v>3415940870</v>
      </c>
      <c r="Q685" s="5">
        <v>46045.812280092592</v>
      </c>
      <c r="R685" s="2" t="s">
        <v>54</v>
      </c>
      <c r="S685" s="2" t="s">
        <v>51</v>
      </c>
      <c r="T685" s="2" t="s">
        <v>55</v>
      </c>
      <c r="U685" s="2" t="s">
        <v>59</v>
      </c>
      <c r="V685" s="2" t="s">
        <v>57</v>
      </c>
      <c r="W685" s="2" t="s">
        <v>58</v>
      </c>
      <c r="X685" s="2" t="s">
        <v>59</v>
      </c>
      <c r="Y685" s="1">
        <v>355.99</v>
      </c>
      <c r="Z685" s="1">
        <v>355.99</v>
      </c>
      <c r="AA685" s="1">
        <v>40.99</v>
      </c>
      <c r="AB685" s="1">
        <v>17.8</v>
      </c>
      <c r="AC685" s="1">
        <v>0</v>
      </c>
      <c r="AD685" s="1">
        <v>50.937890000000003</v>
      </c>
      <c r="AE685" s="1">
        <v>414.78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6.2298249999999999</v>
      </c>
      <c r="AP685" s="1">
        <v>0.87217549999999999</v>
      </c>
      <c r="AQ685" s="1">
        <v>312.27193</v>
      </c>
      <c r="AR685" s="1">
        <v>312.27193</v>
      </c>
      <c r="AS685" s="1">
        <v>78.067980000000006</v>
      </c>
      <c r="AT685" s="1">
        <v>10.929517199999999</v>
      </c>
      <c r="AU685" s="1">
        <v>0</v>
      </c>
      <c r="AV685" s="2" t="s">
        <v>69</v>
      </c>
      <c r="AW685" s="1">
        <v>259.89100000000002</v>
      </c>
      <c r="AX685" s="1">
        <f>Table1[[#This Row],[Original Commissionable GMV]]-Table1[[#This Row],[Commission ]]-Table1[[#This Row],[Commission VAT]]-Table1[[#This Row],[FreeDeliveryFund]]</f>
        <v>223.2744328</v>
      </c>
      <c r="AY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M685" s="2"/>
    </row>
    <row r="686" spans="12:65" x14ac:dyDescent="0.25">
      <c r="L686" s="2">
        <v>504016</v>
      </c>
      <c r="M686" s="2" t="s">
        <v>52</v>
      </c>
      <c r="N686" s="2">
        <v>505839</v>
      </c>
      <c r="O686" t="s">
        <v>53</v>
      </c>
      <c r="P686">
        <v>3415979723</v>
      </c>
      <c r="Q686" s="5">
        <v>46045.824108796296</v>
      </c>
      <c r="R686" s="2" t="s">
        <v>62</v>
      </c>
      <c r="S686" s="2" t="s">
        <v>51</v>
      </c>
      <c r="T686" s="2" t="s">
        <v>55</v>
      </c>
      <c r="U686" s="2" t="s">
        <v>59</v>
      </c>
      <c r="V686" s="2" t="s">
        <v>57</v>
      </c>
      <c r="W686" s="2" t="s">
        <v>58</v>
      </c>
      <c r="X686" s="2" t="s">
        <v>59</v>
      </c>
      <c r="Y686" s="1">
        <v>353.99</v>
      </c>
      <c r="Z686" s="1">
        <v>353.99</v>
      </c>
      <c r="AA686" s="1">
        <v>0</v>
      </c>
      <c r="AB686" s="1">
        <v>17.7</v>
      </c>
      <c r="AC686" s="1">
        <v>0</v>
      </c>
      <c r="AD686" s="1">
        <v>45.646140000000003</v>
      </c>
      <c r="AE686" s="1">
        <v>371.69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310.51754</v>
      </c>
      <c r="AR686" s="1">
        <v>310.51754</v>
      </c>
      <c r="AS686" s="1">
        <v>77.629390000000001</v>
      </c>
      <c r="AT686" s="1">
        <v>10.8681146</v>
      </c>
      <c r="AU686" s="1">
        <v>35.99</v>
      </c>
      <c r="AV686" s="2" t="s">
        <v>60</v>
      </c>
      <c r="AW686" s="1">
        <v>229.50200000000001</v>
      </c>
      <c r="AX686" s="1">
        <f>Table1[[#This Row],[Original Commissionable GMV]]-Table1[[#This Row],[Commission ]]-Table1[[#This Row],[Commission VAT]]-Table1[[#This Row],[FreeDeliveryFund]]</f>
        <v>186.03003539999997</v>
      </c>
      <c r="AY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M686" s="2"/>
    </row>
    <row r="687" spans="12:65" x14ac:dyDescent="0.25">
      <c r="L687" s="2">
        <v>504016</v>
      </c>
      <c r="M687" s="2" t="s">
        <v>52</v>
      </c>
      <c r="N687" s="2">
        <v>505837</v>
      </c>
      <c r="O687" t="s">
        <v>63</v>
      </c>
      <c r="P687">
        <v>3416015186</v>
      </c>
      <c r="Q687" s="5">
        <v>46045.835092592592</v>
      </c>
      <c r="R687" s="2" t="s">
        <v>54</v>
      </c>
      <c r="S687" s="2" t="s">
        <v>51</v>
      </c>
      <c r="T687" s="2" t="s">
        <v>55</v>
      </c>
      <c r="U687" s="2" t="s">
        <v>59</v>
      </c>
      <c r="V687" s="2" t="s">
        <v>57</v>
      </c>
      <c r="W687" s="2" t="s">
        <v>58</v>
      </c>
      <c r="X687" s="2" t="s">
        <v>59</v>
      </c>
      <c r="Y687" s="1">
        <v>352</v>
      </c>
      <c r="Z687" s="1">
        <v>352</v>
      </c>
      <c r="AA687" s="1">
        <v>27.99</v>
      </c>
      <c r="AB687" s="1">
        <v>17.600000000000001</v>
      </c>
      <c r="AC687" s="1">
        <v>0</v>
      </c>
      <c r="AD687" s="1">
        <v>48.826839999999997</v>
      </c>
      <c r="AE687" s="1">
        <v>397.59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6.16</v>
      </c>
      <c r="AP687" s="1">
        <v>0.86240000000000006</v>
      </c>
      <c r="AQ687" s="1">
        <v>308.77193</v>
      </c>
      <c r="AR687" s="1">
        <v>308.77193</v>
      </c>
      <c r="AS687" s="1">
        <v>77.192980000000006</v>
      </c>
      <c r="AT687" s="1">
        <v>10.807017200000001</v>
      </c>
      <c r="AU687" s="1">
        <v>0</v>
      </c>
      <c r="AV687" s="2" t="s">
        <v>69</v>
      </c>
      <c r="AW687" s="1">
        <v>256.97800000000001</v>
      </c>
      <c r="AX687" s="1">
        <f>Table1[[#This Row],[Original Commissionable GMV]]-Table1[[#This Row],[Commission ]]-Table1[[#This Row],[Commission VAT]]-Table1[[#This Row],[FreeDeliveryFund]]</f>
        <v>220.7719328</v>
      </c>
      <c r="AY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M687" s="2"/>
    </row>
    <row r="688" spans="12:65" x14ac:dyDescent="0.25">
      <c r="L688" s="2">
        <v>504016</v>
      </c>
      <c r="M688" s="2" t="s">
        <v>52</v>
      </c>
      <c r="N688" s="2">
        <v>505837</v>
      </c>
      <c r="O688" t="s">
        <v>53</v>
      </c>
      <c r="P688">
        <v>3416049342</v>
      </c>
      <c r="Q688" s="5">
        <v>46045.845925925925</v>
      </c>
      <c r="R688" s="2" t="s">
        <v>62</v>
      </c>
      <c r="S688" s="2" t="s">
        <v>51</v>
      </c>
      <c r="T688" s="2" t="s">
        <v>55</v>
      </c>
      <c r="U688" s="2" t="s">
        <v>56</v>
      </c>
      <c r="V688" s="2" t="s">
        <v>57</v>
      </c>
      <c r="W688" s="2" t="s">
        <v>58</v>
      </c>
      <c r="X688" s="2" t="s">
        <v>59</v>
      </c>
      <c r="Y688" s="1">
        <v>275.99</v>
      </c>
      <c r="Z688" s="1">
        <v>275.99</v>
      </c>
      <c r="AA688" s="1">
        <v>9</v>
      </c>
      <c r="AB688" s="1">
        <v>13.8</v>
      </c>
      <c r="AC688" s="1">
        <v>0</v>
      </c>
      <c r="AD688" s="1">
        <v>36.693510000000003</v>
      </c>
      <c r="AE688" s="1">
        <v>298.79000000000002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242.09648999999999</v>
      </c>
      <c r="AR688" s="1">
        <v>242.09648999999999</v>
      </c>
      <c r="AS688" s="1">
        <v>60.524120000000003</v>
      </c>
      <c r="AT688" s="1">
        <v>8.4733768000000005</v>
      </c>
      <c r="AU688" s="1">
        <v>0</v>
      </c>
      <c r="AV688" s="2" t="s">
        <v>69</v>
      </c>
      <c r="AW688" s="1">
        <v>206.99299999999999</v>
      </c>
      <c r="AX688" s="1">
        <f>Table1[[#This Row],[Original Commissionable GMV]]-Table1[[#This Row],[Commission ]]-Table1[[#This Row],[Commission VAT]]-Table1[[#This Row],[FreeDeliveryFund]]</f>
        <v>173.09899319999997</v>
      </c>
      <c r="AY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M688" s="2"/>
    </row>
    <row r="689" spans="12:65" x14ac:dyDescent="0.25">
      <c r="L689" s="2">
        <v>504016</v>
      </c>
      <c r="M689" s="2" t="s">
        <v>52</v>
      </c>
      <c r="N689" s="2">
        <v>505839</v>
      </c>
      <c r="O689" t="s">
        <v>63</v>
      </c>
      <c r="P689">
        <v>3416053178</v>
      </c>
      <c r="Q689" s="5">
        <v>46045.847141203703</v>
      </c>
      <c r="R689" s="2" t="s">
        <v>54</v>
      </c>
      <c r="S689" s="2" t="s">
        <v>51</v>
      </c>
      <c r="T689" s="2" t="s">
        <v>55</v>
      </c>
      <c r="U689" s="2" t="s">
        <v>59</v>
      </c>
      <c r="V689" s="2" t="s">
        <v>57</v>
      </c>
      <c r="W689" s="2" t="s">
        <v>58</v>
      </c>
      <c r="X689" s="2" t="s">
        <v>59</v>
      </c>
      <c r="Y689" s="1">
        <v>760.98</v>
      </c>
      <c r="Z689" s="1">
        <v>760.98</v>
      </c>
      <c r="AA689" s="1">
        <v>0</v>
      </c>
      <c r="AB689" s="1">
        <v>29.99</v>
      </c>
      <c r="AC689" s="1">
        <v>0</v>
      </c>
      <c r="AD689" s="1">
        <v>97.136669999999995</v>
      </c>
      <c r="AE689" s="1">
        <v>790.97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13.31715</v>
      </c>
      <c r="AP689" s="1">
        <v>1.864401</v>
      </c>
      <c r="AQ689" s="1">
        <v>667.52632000000006</v>
      </c>
      <c r="AR689" s="1">
        <v>667.52632000000006</v>
      </c>
      <c r="AS689" s="1">
        <v>166.88158000000001</v>
      </c>
      <c r="AT689" s="1">
        <v>23.363421200000001</v>
      </c>
      <c r="AU689" s="1">
        <v>28.99</v>
      </c>
      <c r="AV689" s="2" t="s">
        <v>60</v>
      </c>
      <c r="AW689" s="1">
        <v>526.56299999999999</v>
      </c>
      <c r="AX689" s="1">
        <f>Table1[[#This Row],[Original Commissionable GMV]]-Table1[[#This Row],[Commission ]]-Table1[[#This Row],[Commission VAT]]-Table1[[#This Row],[FreeDeliveryFund]]</f>
        <v>448.29131880000006</v>
      </c>
      <c r="AY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M689" s="2"/>
    </row>
    <row r="690" spans="12:65" x14ac:dyDescent="0.25">
      <c r="L690" s="2">
        <v>504016</v>
      </c>
      <c r="M690" s="2" t="s">
        <v>52</v>
      </c>
      <c r="N690" s="2">
        <v>505837</v>
      </c>
      <c r="O690" t="s">
        <v>53</v>
      </c>
      <c r="P690">
        <v>3416098592</v>
      </c>
      <c r="Q690" s="5">
        <v>46045.86209490741</v>
      </c>
      <c r="R690" s="2" t="s">
        <v>54</v>
      </c>
      <c r="S690" s="2" t="s">
        <v>51</v>
      </c>
      <c r="T690" s="2" t="s">
        <v>55</v>
      </c>
      <c r="U690" s="2" t="s">
        <v>56</v>
      </c>
      <c r="V690" s="2" t="s">
        <v>57</v>
      </c>
      <c r="W690" s="2" t="s">
        <v>58</v>
      </c>
      <c r="X690" s="2" t="s">
        <v>59</v>
      </c>
      <c r="Y690" s="1">
        <v>211.99</v>
      </c>
      <c r="Z690" s="1">
        <v>211.99</v>
      </c>
      <c r="AA690" s="1">
        <v>31.99</v>
      </c>
      <c r="AB690" s="1">
        <v>10.6</v>
      </c>
      <c r="AC690" s="1">
        <v>0</v>
      </c>
      <c r="AD690" s="1">
        <v>31.264209999999999</v>
      </c>
      <c r="AE690" s="1">
        <v>254.58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3.7098249999999999</v>
      </c>
      <c r="AP690" s="1">
        <v>0.51937549999999999</v>
      </c>
      <c r="AQ690" s="1">
        <v>185.95614</v>
      </c>
      <c r="AR690" s="1">
        <v>185.95614</v>
      </c>
      <c r="AS690" s="1">
        <v>46.489040000000003</v>
      </c>
      <c r="AT690" s="1">
        <v>6.5084656000000001</v>
      </c>
      <c r="AU690" s="1">
        <v>0</v>
      </c>
      <c r="AV690" s="2" t="s">
        <v>69</v>
      </c>
      <c r="AW690" s="1">
        <v>154.76300000000001</v>
      </c>
      <c r="AX690" s="1">
        <f>Table1[[#This Row],[Original Commissionable GMV]]-Table1[[#This Row],[Commission ]]-Table1[[#This Row],[Commission VAT]]-Table1[[#This Row],[FreeDeliveryFund]]</f>
        <v>132.95863440000002</v>
      </c>
      <c r="AY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M690" s="2"/>
    </row>
    <row r="691" spans="12:65" x14ac:dyDescent="0.25">
      <c r="L691" s="2">
        <v>504016</v>
      </c>
      <c r="M691" s="2" t="s">
        <v>52</v>
      </c>
      <c r="N691" s="2">
        <v>505839</v>
      </c>
      <c r="O691" t="s">
        <v>65</v>
      </c>
      <c r="P691">
        <v>3416207492</v>
      </c>
      <c r="Q691" s="5">
        <v>46045.901423611111</v>
      </c>
      <c r="R691" s="2" t="s">
        <v>62</v>
      </c>
      <c r="S691" s="2" t="s">
        <v>51</v>
      </c>
      <c r="T691" s="2" t="s">
        <v>55</v>
      </c>
      <c r="U691" s="2" t="s">
        <v>59</v>
      </c>
      <c r="V691" s="2" t="s">
        <v>57</v>
      </c>
      <c r="W691" s="2" t="s">
        <v>58</v>
      </c>
      <c r="X691" s="2" t="s">
        <v>59</v>
      </c>
      <c r="Y691" s="1">
        <v>417.99</v>
      </c>
      <c r="Z691" s="1">
        <v>417.99</v>
      </c>
      <c r="AA691" s="1">
        <v>28.99</v>
      </c>
      <c r="AB691" s="1">
        <v>20.9</v>
      </c>
      <c r="AC691" s="1">
        <v>0</v>
      </c>
      <c r="AD691" s="1">
        <v>57.458950000000002</v>
      </c>
      <c r="AE691" s="1">
        <v>467.88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30</v>
      </c>
      <c r="AN691" s="1">
        <v>4.2</v>
      </c>
      <c r="AO691" s="1">
        <v>0</v>
      </c>
      <c r="AP691" s="1">
        <v>0</v>
      </c>
      <c r="AQ691" s="1">
        <v>366.65789000000001</v>
      </c>
      <c r="AR691" s="1">
        <v>366.65789000000001</v>
      </c>
      <c r="AS691" s="1">
        <v>91.664469999999994</v>
      </c>
      <c r="AT691" s="1">
        <v>12.8330258</v>
      </c>
      <c r="AU691" s="1">
        <v>0</v>
      </c>
      <c r="AV691" s="2" t="s">
        <v>69</v>
      </c>
      <c r="AW691" s="1">
        <v>279.29300000000001</v>
      </c>
      <c r="AX691" s="1">
        <f>Table1[[#This Row],[Original Commissionable GMV]]-Table1[[#This Row],[Commission ]]-Table1[[#This Row],[Commission VAT]]-Table1[[#This Row],[FreeDeliveryFund]]</f>
        <v>262.16039420000004</v>
      </c>
      <c r="AY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M691" s="2"/>
    </row>
    <row r="692" spans="12:65" x14ac:dyDescent="0.25">
      <c r="L692" s="2">
        <v>504016</v>
      </c>
      <c r="M692" s="2" t="s">
        <v>52</v>
      </c>
      <c r="N692" s="2">
        <v>505837</v>
      </c>
      <c r="O692" t="s">
        <v>63</v>
      </c>
      <c r="P692">
        <v>3416212412</v>
      </c>
      <c r="Q692" s="5">
        <v>46045.903321759259</v>
      </c>
      <c r="R692" s="2" t="s">
        <v>54</v>
      </c>
      <c r="S692" s="2" t="s">
        <v>51</v>
      </c>
      <c r="T692" s="2" t="s">
        <v>55</v>
      </c>
      <c r="U692" s="2" t="s">
        <v>59</v>
      </c>
      <c r="V692" s="2" t="s">
        <v>57</v>
      </c>
      <c r="W692" s="2" t="s">
        <v>58</v>
      </c>
      <c r="X692" s="2" t="s">
        <v>59</v>
      </c>
      <c r="Y692" s="1">
        <v>488.82</v>
      </c>
      <c r="Z692" s="1">
        <v>488.82</v>
      </c>
      <c r="AA692" s="1">
        <v>29.99</v>
      </c>
      <c r="AB692" s="1">
        <v>24.44</v>
      </c>
      <c r="AC692" s="1">
        <v>0</v>
      </c>
      <c r="AD692" s="1">
        <v>66.714910000000003</v>
      </c>
      <c r="AE692" s="1">
        <v>543.25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8.5543499999999995</v>
      </c>
      <c r="AP692" s="1">
        <v>1.1976089999999999</v>
      </c>
      <c r="AQ692" s="1">
        <v>428.78946999999999</v>
      </c>
      <c r="AR692" s="1">
        <v>428.78946999999999</v>
      </c>
      <c r="AS692" s="1">
        <v>107.19737000000001</v>
      </c>
      <c r="AT692" s="1">
        <v>15.0076318</v>
      </c>
      <c r="AU692" s="1">
        <v>0</v>
      </c>
      <c r="AV692" s="2" t="s">
        <v>69</v>
      </c>
      <c r="AW692" s="1">
        <v>356.863</v>
      </c>
      <c r="AX692" s="1">
        <f>Table1[[#This Row],[Original Commissionable GMV]]-Table1[[#This Row],[Commission ]]-Table1[[#This Row],[Commission VAT]]-Table1[[#This Row],[FreeDeliveryFund]]</f>
        <v>306.58446819999995</v>
      </c>
      <c r="AY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M692" s="2"/>
    </row>
    <row r="693" spans="12:65" x14ac:dyDescent="0.25">
      <c r="L693" s="2">
        <v>504016</v>
      </c>
      <c r="M693" s="2" t="s">
        <v>52</v>
      </c>
      <c r="N693" s="2">
        <v>505839</v>
      </c>
      <c r="O693" t="s">
        <v>63</v>
      </c>
      <c r="P693">
        <v>3416215345</v>
      </c>
      <c r="Q693" s="5">
        <v>46045.904502314814</v>
      </c>
      <c r="R693" s="2" t="s">
        <v>54</v>
      </c>
      <c r="S693" s="2" t="s">
        <v>51</v>
      </c>
      <c r="T693" s="2" t="s">
        <v>55</v>
      </c>
      <c r="U693" s="2" t="s">
        <v>59</v>
      </c>
      <c r="V693" s="2" t="s">
        <v>57</v>
      </c>
      <c r="W693" s="2" t="s">
        <v>58</v>
      </c>
      <c r="X693" s="2" t="s">
        <v>59</v>
      </c>
      <c r="Y693" s="1">
        <v>445.99</v>
      </c>
      <c r="Z693" s="1">
        <v>445.99</v>
      </c>
      <c r="AA693" s="1">
        <v>0</v>
      </c>
      <c r="AB693" s="1">
        <v>22.3</v>
      </c>
      <c r="AC693" s="1">
        <v>0</v>
      </c>
      <c r="AD693" s="1">
        <v>57.509300000000003</v>
      </c>
      <c r="AE693" s="1">
        <v>468.29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7.8048250000000001</v>
      </c>
      <c r="AP693" s="1">
        <v>1.0926754999999999</v>
      </c>
      <c r="AQ693" s="1">
        <v>391.21929999999998</v>
      </c>
      <c r="AR693" s="1">
        <v>391.21929999999998</v>
      </c>
      <c r="AS693" s="1">
        <v>97.804829999999995</v>
      </c>
      <c r="AT693" s="1">
        <v>13.692676199999999</v>
      </c>
      <c r="AU693" s="1">
        <v>26.99</v>
      </c>
      <c r="AV693" s="2" t="s">
        <v>60</v>
      </c>
      <c r="AW693" s="1">
        <v>298.60500000000002</v>
      </c>
      <c r="AX693" s="1">
        <f>Table1[[#This Row],[Original Commissionable GMV]]-Table1[[#This Row],[Commission ]]-Table1[[#This Row],[Commission VAT]]-Table1[[#This Row],[FreeDeliveryFund]]</f>
        <v>252.73179379999999</v>
      </c>
      <c r="AY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M693" s="2"/>
    </row>
    <row r="694" spans="12:65" x14ac:dyDescent="0.25">
      <c r="L694" s="2">
        <v>504016</v>
      </c>
      <c r="M694" s="2" t="s">
        <v>52</v>
      </c>
      <c r="N694" s="2">
        <v>505839</v>
      </c>
      <c r="O694" t="s">
        <v>53</v>
      </c>
      <c r="P694">
        <v>3416216885</v>
      </c>
      <c r="Q694" s="5">
        <v>46045.905092592591</v>
      </c>
      <c r="R694" s="2" t="s">
        <v>54</v>
      </c>
      <c r="S694" s="2" t="s">
        <v>51</v>
      </c>
      <c r="T694" s="2" t="s">
        <v>55</v>
      </c>
      <c r="U694" s="2" t="s">
        <v>56</v>
      </c>
      <c r="V694" s="2" t="s">
        <v>57</v>
      </c>
      <c r="W694" s="2" t="s">
        <v>58</v>
      </c>
      <c r="X694" s="2" t="s">
        <v>59</v>
      </c>
      <c r="Y694" s="1">
        <v>553.98</v>
      </c>
      <c r="Z694" s="1">
        <v>553.98</v>
      </c>
      <c r="AA694" s="1">
        <v>9</v>
      </c>
      <c r="AB694" s="1">
        <v>27.7</v>
      </c>
      <c r="AC694" s="1">
        <v>0</v>
      </c>
      <c r="AD694" s="1">
        <v>72.539649999999995</v>
      </c>
      <c r="AE694" s="1">
        <v>590.67999999999995</v>
      </c>
      <c r="AG694" s="1">
        <v>0</v>
      </c>
      <c r="AH694" s="1">
        <v>0</v>
      </c>
      <c r="AI694" s="1">
        <v>0</v>
      </c>
      <c r="AJ694" s="1">
        <v>80</v>
      </c>
      <c r="AK694" s="1">
        <v>0</v>
      </c>
      <c r="AL694" s="1">
        <v>0</v>
      </c>
      <c r="AM694" s="1">
        <v>0</v>
      </c>
      <c r="AN694" s="1">
        <v>0</v>
      </c>
      <c r="AO694" s="1">
        <v>9.6946499999999993</v>
      </c>
      <c r="AP694" s="1">
        <v>1.357251</v>
      </c>
      <c r="AQ694" s="1">
        <v>485.94736999999998</v>
      </c>
      <c r="AR694" s="1">
        <v>485.94736999999998</v>
      </c>
      <c r="AS694" s="1">
        <v>121.48684</v>
      </c>
      <c r="AT694" s="1">
        <v>17.008157600000001</v>
      </c>
      <c r="AU694" s="1">
        <v>32.99</v>
      </c>
      <c r="AV694" s="2" t="s">
        <v>60</v>
      </c>
      <c r="AW694" s="1">
        <v>371.44299999999998</v>
      </c>
      <c r="AX694" s="1">
        <f>Table1[[#This Row],[Original Commissionable GMV]]-Table1[[#This Row],[Commission ]]-Table1[[#This Row],[Commission VAT]]-Table1[[#This Row],[FreeDeliveryFund]]</f>
        <v>314.46237239999994</v>
      </c>
      <c r="AY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M694" s="2"/>
    </row>
    <row r="695" spans="12:65" x14ac:dyDescent="0.25">
      <c r="L695" s="2">
        <v>504016</v>
      </c>
      <c r="M695" s="2" t="s">
        <v>52</v>
      </c>
      <c r="N695" s="2">
        <v>505837</v>
      </c>
      <c r="O695" t="s">
        <v>65</v>
      </c>
      <c r="P695">
        <v>3416248732</v>
      </c>
      <c r="Q695" s="5">
        <v>46045.917997685188</v>
      </c>
      <c r="R695" s="2" t="s">
        <v>54</v>
      </c>
      <c r="S695" s="2" t="s">
        <v>51</v>
      </c>
      <c r="T695" s="2" t="s">
        <v>55</v>
      </c>
      <c r="U695" s="2" t="s">
        <v>56</v>
      </c>
      <c r="V695" s="2" t="s">
        <v>57</v>
      </c>
      <c r="W695" s="2" t="s">
        <v>58</v>
      </c>
      <c r="X695" s="2" t="s">
        <v>59</v>
      </c>
      <c r="Y695" s="1">
        <v>1048.97</v>
      </c>
      <c r="Z695" s="1">
        <v>1048.97</v>
      </c>
      <c r="AA695" s="1">
        <v>0</v>
      </c>
      <c r="AB695" s="1">
        <v>29.99</v>
      </c>
      <c r="AC695" s="1">
        <v>0</v>
      </c>
      <c r="AD695" s="1">
        <v>132.50386</v>
      </c>
      <c r="AE695" s="1">
        <v>1078.96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18.356974999999998</v>
      </c>
      <c r="AP695" s="1">
        <v>2.5699765000000001</v>
      </c>
      <c r="AQ695" s="1">
        <v>920.14912000000004</v>
      </c>
      <c r="AR695" s="1">
        <v>920.14912000000004</v>
      </c>
      <c r="AS695" s="1">
        <v>230.03728000000001</v>
      </c>
      <c r="AT695" s="1">
        <v>32.205219200000002</v>
      </c>
      <c r="AU695" s="1">
        <v>27.99</v>
      </c>
      <c r="AV695" s="2" t="s">
        <v>60</v>
      </c>
      <c r="AW695" s="1">
        <v>737.81100000000004</v>
      </c>
      <c r="AX695" s="1">
        <f>Table1[[#This Row],[Original Commissionable GMV]]-Table1[[#This Row],[Commission ]]-Table1[[#This Row],[Commission VAT]]-Table1[[#This Row],[FreeDeliveryFund]]</f>
        <v>629.91662080000003</v>
      </c>
      <c r="AY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M695" s="2"/>
    </row>
    <row r="696" spans="12:65" x14ac:dyDescent="0.25">
      <c r="L696" s="2">
        <v>504016</v>
      </c>
      <c r="M696" s="2" t="s">
        <v>52</v>
      </c>
      <c r="N696" s="2">
        <v>505837</v>
      </c>
      <c r="O696" t="s">
        <v>53</v>
      </c>
      <c r="P696">
        <v>3416248947</v>
      </c>
      <c r="Q696" s="5">
        <v>46045.918078703704</v>
      </c>
      <c r="R696" s="2" t="s">
        <v>54</v>
      </c>
      <c r="S696" s="2" t="s">
        <v>51</v>
      </c>
      <c r="T696" s="2" t="s">
        <v>55</v>
      </c>
      <c r="U696" s="2" t="s">
        <v>59</v>
      </c>
      <c r="V696" s="2" t="s">
        <v>57</v>
      </c>
      <c r="W696" s="2" t="s">
        <v>58</v>
      </c>
      <c r="X696" s="2" t="s">
        <v>59</v>
      </c>
      <c r="Y696" s="1">
        <v>356.99</v>
      </c>
      <c r="Z696" s="1">
        <v>356.99</v>
      </c>
      <c r="AA696" s="1">
        <v>0</v>
      </c>
      <c r="AB696" s="1">
        <v>17.850000000000001</v>
      </c>
      <c r="AC696" s="1">
        <v>0</v>
      </c>
      <c r="AD696" s="1">
        <v>46.032980000000002</v>
      </c>
      <c r="AE696" s="1">
        <v>374.84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6.247325</v>
      </c>
      <c r="AP696" s="1">
        <v>0.87462549999999994</v>
      </c>
      <c r="AQ696" s="1">
        <v>313.14911999999998</v>
      </c>
      <c r="AR696" s="1">
        <v>313.14911999999998</v>
      </c>
      <c r="AS696" s="1">
        <v>78.287279999999996</v>
      </c>
      <c r="AT696" s="1">
        <v>10.960219199999999</v>
      </c>
      <c r="AU696" s="1">
        <v>32.99</v>
      </c>
      <c r="AV696" s="2" t="s">
        <v>60</v>
      </c>
      <c r="AW696" s="1">
        <v>227.631</v>
      </c>
      <c r="AX696" s="1">
        <f>Table1[[#This Row],[Original Commissionable GMV]]-Table1[[#This Row],[Commission ]]-Table1[[#This Row],[Commission VAT]]-Table1[[#This Row],[FreeDeliveryFund]]</f>
        <v>190.91162079999995</v>
      </c>
      <c r="AY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M696" s="2"/>
    </row>
    <row r="697" spans="12:65" x14ac:dyDescent="0.25">
      <c r="L697" s="2">
        <v>504016</v>
      </c>
      <c r="M697" s="2" t="s">
        <v>52</v>
      </c>
      <c r="N697" s="2">
        <v>505839</v>
      </c>
      <c r="O697" t="s">
        <v>53</v>
      </c>
      <c r="P697">
        <v>3416250443</v>
      </c>
      <c r="Q697" s="5">
        <v>46045.918773148151</v>
      </c>
      <c r="R697" s="2" t="s">
        <v>54</v>
      </c>
      <c r="S697" s="2" t="s">
        <v>51</v>
      </c>
      <c r="T697" s="2" t="s">
        <v>77</v>
      </c>
      <c r="U697" s="2" t="s">
        <v>56</v>
      </c>
      <c r="V697" s="2" t="s">
        <v>57</v>
      </c>
      <c r="W697" s="2" t="s">
        <v>58</v>
      </c>
      <c r="X697" s="2" t="s">
        <v>59</v>
      </c>
      <c r="Y697" s="1">
        <v>1925.97</v>
      </c>
      <c r="Z697" s="1">
        <v>1925.97</v>
      </c>
      <c r="AA697" s="1">
        <v>0</v>
      </c>
      <c r="AB697" s="1">
        <v>0</v>
      </c>
      <c r="AC697" s="1">
        <v>0</v>
      </c>
      <c r="AD697" s="1">
        <v>201.04367999999999</v>
      </c>
      <c r="AE697" s="1">
        <v>1637.07</v>
      </c>
      <c r="AG697" s="1">
        <v>0</v>
      </c>
      <c r="AH697" s="1">
        <v>288.89999999999998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33.704553750000002</v>
      </c>
      <c r="AP697" s="1">
        <v>4.7186375250000001</v>
      </c>
      <c r="AQ697" s="1">
        <v>1689.4473700000001</v>
      </c>
      <c r="AR697" s="1">
        <v>1689.4473700000001</v>
      </c>
      <c r="AS697" s="1">
        <v>422.36183999999997</v>
      </c>
      <c r="AT697" s="1">
        <v>59.130657599999999</v>
      </c>
      <c r="AU697" s="1">
        <v>0</v>
      </c>
      <c r="AV697" s="2" t="s">
        <v>69</v>
      </c>
      <c r="AW697" s="1">
        <v>1406.0540000000001</v>
      </c>
      <c r="AX697" s="1">
        <f>Table1[[#This Row],[Original Commissionable GMV]]-Table1[[#This Row],[Commission ]]-Table1[[#This Row],[Commission VAT]]-Table1[[#This Row],[FreeDeliveryFund]]</f>
        <v>1207.9548724000001</v>
      </c>
      <c r="AY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M697" s="2"/>
    </row>
    <row r="698" spans="12:65" x14ac:dyDescent="0.25">
      <c r="L698" s="2">
        <v>504016</v>
      </c>
      <c r="M698" s="2" t="s">
        <v>52</v>
      </c>
      <c r="N698" s="2">
        <v>505837</v>
      </c>
      <c r="O698" t="s">
        <v>53</v>
      </c>
      <c r="P698">
        <v>3416261106</v>
      </c>
      <c r="Q698" s="5">
        <v>46045.92324074074</v>
      </c>
      <c r="R698" s="2" t="s">
        <v>54</v>
      </c>
      <c r="S698" s="2" t="s">
        <v>51</v>
      </c>
      <c r="T698" s="2" t="s">
        <v>77</v>
      </c>
      <c r="U698" s="2" t="s">
        <v>56</v>
      </c>
      <c r="V698" s="2" t="s">
        <v>57</v>
      </c>
      <c r="W698" s="2" t="s">
        <v>58</v>
      </c>
      <c r="X698" s="2" t="s">
        <v>59</v>
      </c>
      <c r="Y698" s="1">
        <v>1891.97</v>
      </c>
      <c r="Z698" s="1">
        <v>1891.97</v>
      </c>
      <c r="AA698" s="1">
        <v>0</v>
      </c>
      <c r="AB698" s="1">
        <v>0</v>
      </c>
      <c r="AC698" s="1">
        <v>0</v>
      </c>
      <c r="AD698" s="1">
        <v>197.49456000000001</v>
      </c>
      <c r="AE698" s="1">
        <v>1608.17</v>
      </c>
      <c r="AG698" s="1">
        <v>0</v>
      </c>
      <c r="AH698" s="1">
        <v>283.8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33.109555499999999</v>
      </c>
      <c r="AP698" s="1">
        <v>4.6353377699999996</v>
      </c>
      <c r="AQ698" s="1">
        <v>1659.6228100000001</v>
      </c>
      <c r="AR698" s="1">
        <v>1659.6228100000001</v>
      </c>
      <c r="AS698" s="1">
        <v>414.90570000000002</v>
      </c>
      <c r="AT698" s="1">
        <v>58.086798000000002</v>
      </c>
      <c r="AU698" s="1">
        <v>0</v>
      </c>
      <c r="AV698" s="2" t="s">
        <v>69</v>
      </c>
      <c r="AW698" s="1">
        <v>1381.2329999999999</v>
      </c>
      <c r="AX698" s="1">
        <f>Table1[[#This Row],[Original Commissionable GMV]]-Table1[[#This Row],[Commission ]]-Table1[[#This Row],[Commission VAT]]-Table1[[#This Row],[FreeDeliveryFund]]</f>
        <v>1186.630312</v>
      </c>
      <c r="AY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M698" s="2"/>
    </row>
    <row r="699" spans="12:65" x14ac:dyDescent="0.25">
      <c r="L699" s="2">
        <v>504016</v>
      </c>
      <c r="M699" s="2" t="s">
        <v>52</v>
      </c>
      <c r="N699" s="2">
        <v>505839</v>
      </c>
      <c r="O699" t="s">
        <v>53</v>
      </c>
      <c r="P699">
        <v>3416276320</v>
      </c>
      <c r="Q699" s="5">
        <v>46045.929826388892</v>
      </c>
      <c r="R699" s="2" t="s">
        <v>54</v>
      </c>
      <c r="S699" s="2" t="s">
        <v>51</v>
      </c>
      <c r="T699" s="2" t="s">
        <v>77</v>
      </c>
      <c r="U699" s="2" t="s">
        <v>59</v>
      </c>
      <c r="V699" s="2" t="s">
        <v>57</v>
      </c>
      <c r="W699" s="2" t="s">
        <v>58</v>
      </c>
      <c r="X699" s="2" t="s">
        <v>59</v>
      </c>
      <c r="Y699" s="1">
        <v>1717.99</v>
      </c>
      <c r="Z699" s="1">
        <v>1717.99</v>
      </c>
      <c r="AA699" s="1">
        <v>0</v>
      </c>
      <c r="AB699" s="1">
        <v>0</v>
      </c>
      <c r="AC699" s="1">
        <v>0</v>
      </c>
      <c r="AD699" s="1">
        <v>179.33385999999999</v>
      </c>
      <c r="AE699" s="1">
        <v>1460.29</v>
      </c>
      <c r="AG699" s="1">
        <v>0</v>
      </c>
      <c r="AH699" s="1">
        <v>257.7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30.06485125</v>
      </c>
      <c r="AP699" s="1">
        <v>4.2090791750000003</v>
      </c>
      <c r="AQ699" s="1">
        <v>1507.0087699999999</v>
      </c>
      <c r="AR699" s="1">
        <v>1507.0087699999999</v>
      </c>
      <c r="AS699" s="1">
        <v>376.75218999999998</v>
      </c>
      <c r="AT699" s="1">
        <v>52.745306599999999</v>
      </c>
      <c r="AU699" s="1">
        <v>0</v>
      </c>
      <c r="AV699" s="2" t="s">
        <v>69</v>
      </c>
      <c r="AW699" s="1">
        <v>1254.2190000000001</v>
      </c>
      <c r="AX699" s="1">
        <f>Table1[[#This Row],[Original Commissionable GMV]]-Table1[[#This Row],[Commission ]]-Table1[[#This Row],[Commission VAT]]-Table1[[#This Row],[FreeDeliveryFund]]</f>
        <v>1077.5112733999999</v>
      </c>
      <c r="AY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M699" s="2"/>
    </row>
    <row r="700" spans="12:65" x14ac:dyDescent="0.25">
      <c r="L700" s="2">
        <v>504016</v>
      </c>
      <c r="M700" s="2" t="s">
        <v>52</v>
      </c>
      <c r="N700" s="2">
        <v>505837</v>
      </c>
      <c r="O700" t="s">
        <v>53</v>
      </c>
      <c r="P700">
        <v>3416295968</v>
      </c>
      <c r="Q700" s="5">
        <v>46045.938599537039</v>
      </c>
      <c r="R700" s="2" t="s">
        <v>54</v>
      </c>
      <c r="S700" s="2" t="s">
        <v>51</v>
      </c>
      <c r="T700" s="2" t="s">
        <v>55</v>
      </c>
      <c r="U700" s="2" t="s">
        <v>56</v>
      </c>
      <c r="V700" s="2" t="s">
        <v>57</v>
      </c>
      <c r="W700" s="2" t="s">
        <v>58</v>
      </c>
      <c r="X700" s="2" t="s">
        <v>59</v>
      </c>
      <c r="Y700" s="1">
        <v>319.99</v>
      </c>
      <c r="Z700" s="1">
        <v>319.99</v>
      </c>
      <c r="AA700" s="1">
        <v>9</v>
      </c>
      <c r="AB700" s="1">
        <v>16</v>
      </c>
      <c r="AC700" s="1">
        <v>0</v>
      </c>
      <c r="AD700" s="1">
        <v>42.367190000000001</v>
      </c>
      <c r="AE700" s="1">
        <v>344.99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5.5998250000000001</v>
      </c>
      <c r="AP700" s="1">
        <v>0.78397550000000005</v>
      </c>
      <c r="AQ700" s="1">
        <v>280.69297999999998</v>
      </c>
      <c r="AR700" s="1">
        <v>280.69297999999998</v>
      </c>
      <c r="AS700" s="1">
        <v>70.173249999999996</v>
      </c>
      <c r="AT700" s="1">
        <v>9.8242550000000008</v>
      </c>
      <c r="AU700" s="1">
        <v>31.99</v>
      </c>
      <c r="AV700" s="2" t="s">
        <v>60</v>
      </c>
      <c r="AW700" s="1">
        <v>201.619</v>
      </c>
      <c r="AX700" s="1">
        <f>Table1[[#This Row],[Original Commissionable GMV]]-Table1[[#This Row],[Commission ]]-Table1[[#This Row],[Commission VAT]]-Table1[[#This Row],[FreeDeliveryFund]]</f>
        <v>168.70547499999998</v>
      </c>
      <c r="AY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M700" s="2"/>
    </row>
    <row r="701" spans="12:65" x14ac:dyDescent="0.25">
      <c r="L701" s="2">
        <v>504016</v>
      </c>
      <c r="M701" s="2" t="s">
        <v>52</v>
      </c>
      <c r="N701" s="2">
        <v>505839</v>
      </c>
      <c r="O701" t="s">
        <v>63</v>
      </c>
      <c r="P701">
        <v>3416324933</v>
      </c>
      <c r="Q701" s="5">
        <v>46045.952511574076</v>
      </c>
      <c r="R701" s="2" t="s">
        <v>54</v>
      </c>
      <c r="S701" s="2" t="s">
        <v>51</v>
      </c>
      <c r="T701" s="2" t="s">
        <v>55</v>
      </c>
      <c r="U701" s="2" t="s">
        <v>56</v>
      </c>
      <c r="V701" s="2" t="s">
        <v>57</v>
      </c>
      <c r="W701" s="2" t="s">
        <v>58</v>
      </c>
      <c r="X701" s="2" t="s">
        <v>59</v>
      </c>
      <c r="Y701" s="1">
        <v>771.99</v>
      </c>
      <c r="Z701" s="1">
        <v>771.99</v>
      </c>
      <c r="AA701" s="1">
        <v>28.99</v>
      </c>
      <c r="AB701" s="1">
        <v>29.99</v>
      </c>
      <c r="AC701" s="1">
        <v>0</v>
      </c>
      <c r="AD701" s="1">
        <v>102.04895</v>
      </c>
      <c r="AE701" s="1">
        <v>830.97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45</v>
      </c>
      <c r="AM701" s="1">
        <v>0</v>
      </c>
      <c r="AN701" s="1">
        <v>0</v>
      </c>
      <c r="AO701" s="1">
        <v>13.509824999999999</v>
      </c>
      <c r="AP701" s="1">
        <v>1.8913755000000001</v>
      </c>
      <c r="AQ701" s="1">
        <v>677.18421000000001</v>
      </c>
      <c r="AR701" s="1">
        <v>677.18421000000001</v>
      </c>
      <c r="AS701" s="1">
        <v>169.29605000000001</v>
      </c>
      <c r="AT701" s="1">
        <v>23.701447000000002</v>
      </c>
      <c r="AU701" s="1">
        <v>0</v>
      </c>
      <c r="AV701" s="2" t="s">
        <v>69</v>
      </c>
      <c r="AW701" s="1">
        <v>563.59100000000001</v>
      </c>
      <c r="AX701" s="1">
        <f>Table1[[#This Row],[Original Commissionable GMV]]-Table1[[#This Row],[Commission ]]-Table1[[#This Row],[Commission VAT]]-Table1[[#This Row],[FreeDeliveryFund]]</f>
        <v>484.18671299999994</v>
      </c>
      <c r="AY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M701" s="2"/>
    </row>
    <row r="702" spans="12:65" x14ac:dyDescent="0.25">
      <c r="L702" s="2">
        <v>504016</v>
      </c>
      <c r="M702" s="2" t="s">
        <v>52</v>
      </c>
      <c r="N702" s="2">
        <v>505839</v>
      </c>
      <c r="O702" t="s">
        <v>53</v>
      </c>
      <c r="P702">
        <v>3416356084</v>
      </c>
      <c r="Q702" s="5">
        <v>46045.968668981484</v>
      </c>
      <c r="R702" s="2" t="s">
        <v>54</v>
      </c>
      <c r="S702" s="2" t="s">
        <v>51</v>
      </c>
      <c r="T702" s="2" t="s">
        <v>55</v>
      </c>
      <c r="U702" s="2" t="s">
        <v>59</v>
      </c>
      <c r="V702" s="2" t="s">
        <v>57</v>
      </c>
      <c r="W702" s="2" t="s">
        <v>58</v>
      </c>
      <c r="X702" s="2" t="s">
        <v>59</v>
      </c>
      <c r="Y702" s="1">
        <v>1229.6400000000001</v>
      </c>
      <c r="Z702" s="1">
        <v>1229.6400000000001</v>
      </c>
      <c r="AA702" s="1">
        <v>9</v>
      </c>
      <c r="AB702" s="1">
        <v>29.99</v>
      </c>
      <c r="AC702" s="1">
        <v>0</v>
      </c>
      <c r="AD702" s="1">
        <v>155.79667000000001</v>
      </c>
      <c r="AE702" s="1">
        <v>1268.6300000000001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21.518699999999999</v>
      </c>
      <c r="AP702" s="1">
        <v>3.0126179999999998</v>
      </c>
      <c r="AQ702" s="1">
        <v>1078.63158</v>
      </c>
      <c r="AR702" s="1">
        <v>1078.63158</v>
      </c>
      <c r="AS702" s="1">
        <v>269.65789999999998</v>
      </c>
      <c r="AT702" s="1">
        <v>37.752105999999998</v>
      </c>
      <c r="AU702" s="1">
        <v>30.99</v>
      </c>
      <c r="AV702" s="2" t="s">
        <v>60</v>
      </c>
      <c r="AW702" s="1">
        <v>866.70899999999995</v>
      </c>
      <c r="AX702" s="1">
        <f>Table1[[#This Row],[Original Commissionable GMV]]-Table1[[#This Row],[Commission ]]-Table1[[#This Row],[Commission VAT]]-Table1[[#This Row],[FreeDeliveryFund]]</f>
        <v>740.23157400000002</v>
      </c>
      <c r="AY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M702" s="2"/>
    </row>
    <row r="703" spans="12:65" x14ac:dyDescent="0.25">
      <c r="L703" s="2">
        <v>504016</v>
      </c>
      <c r="M703" s="2" t="s">
        <v>52</v>
      </c>
      <c r="N703" s="2">
        <v>505837</v>
      </c>
      <c r="O703" t="s">
        <v>53</v>
      </c>
      <c r="P703">
        <v>3416358053</v>
      </c>
      <c r="Q703" s="5">
        <v>46045.969710648147</v>
      </c>
      <c r="R703" s="2" t="s">
        <v>62</v>
      </c>
      <c r="S703" s="2" t="s">
        <v>51</v>
      </c>
      <c r="T703" s="2" t="s">
        <v>55</v>
      </c>
      <c r="U703" s="2" t="s">
        <v>56</v>
      </c>
      <c r="V703" s="2" t="s">
        <v>57</v>
      </c>
      <c r="W703" s="2" t="s">
        <v>58</v>
      </c>
      <c r="X703" s="2" t="s">
        <v>59</v>
      </c>
      <c r="Y703" s="1">
        <v>987</v>
      </c>
      <c r="Z703" s="1">
        <v>987</v>
      </c>
      <c r="AA703" s="1">
        <v>31.99</v>
      </c>
      <c r="AB703" s="1">
        <v>29.99</v>
      </c>
      <c r="AC703" s="1">
        <v>0</v>
      </c>
      <c r="AD703" s="1">
        <v>128.82211000000001</v>
      </c>
      <c r="AE703" s="1">
        <v>1048.98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865.78947000000005</v>
      </c>
      <c r="AR703" s="1">
        <v>865.78947000000005</v>
      </c>
      <c r="AS703" s="1">
        <v>216.44737000000001</v>
      </c>
      <c r="AT703" s="1">
        <v>30.3026318</v>
      </c>
      <c r="AU703" s="1">
        <v>0</v>
      </c>
      <c r="AV703" s="2" t="s">
        <v>69</v>
      </c>
      <c r="AW703" s="1">
        <v>740.25</v>
      </c>
      <c r="AX703" s="1">
        <f>Table1[[#This Row],[Original Commissionable GMV]]-Table1[[#This Row],[Commission ]]-Table1[[#This Row],[Commission VAT]]-Table1[[#This Row],[FreeDeliveryFund]]</f>
        <v>619.0394682000001</v>
      </c>
      <c r="AY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M703" s="2"/>
    </row>
    <row r="704" spans="12:65" x14ac:dyDescent="0.25">
      <c r="L704" s="2">
        <v>504016</v>
      </c>
      <c r="M704" s="2" t="s">
        <v>52</v>
      </c>
      <c r="N704" s="2">
        <v>505837</v>
      </c>
      <c r="O704" t="s">
        <v>53</v>
      </c>
      <c r="P704">
        <v>3416866934</v>
      </c>
      <c r="Q704" s="5">
        <v>46046.487395833334</v>
      </c>
      <c r="R704" s="2" t="s">
        <v>54</v>
      </c>
      <c r="S704" s="2" t="s">
        <v>51</v>
      </c>
      <c r="T704" s="2" t="s">
        <v>55</v>
      </c>
      <c r="U704" s="2" t="s">
        <v>56</v>
      </c>
      <c r="V704" s="2" t="s">
        <v>57</v>
      </c>
      <c r="W704" s="2" t="s">
        <v>58</v>
      </c>
      <c r="X704" s="2" t="s">
        <v>59</v>
      </c>
      <c r="Y704" s="1">
        <v>2401.6799999999998</v>
      </c>
      <c r="Z704" s="1">
        <v>2401.6799999999998</v>
      </c>
      <c r="AA704" s="1">
        <v>41.99</v>
      </c>
      <c r="AB704" s="1">
        <v>29.99</v>
      </c>
      <c r="AC704" s="1">
        <v>0</v>
      </c>
      <c r="AD704" s="1">
        <v>303.78280999999998</v>
      </c>
      <c r="AE704" s="1">
        <v>2473.66</v>
      </c>
      <c r="AG704" s="1">
        <v>0</v>
      </c>
      <c r="AH704" s="1">
        <v>0</v>
      </c>
      <c r="AI704" s="1">
        <v>0</v>
      </c>
      <c r="AJ704" s="1">
        <v>100</v>
      </c>
      <c r="AK704" s="1">
        <v>0</v>
      </c>
      <c r="AL704" s="1">
        <v>0</v>
      </c>
      <c r="AM704" s="1">
        <v>0</v>
      </c>
      <c r="AN704" s="1">
        <v>0</v>
      </c>
      <c r="AO704" s="1">
        <v>42.02939825</v>
      </c>
      <c r="AP704" s="1">
        <v>5.8841157549999998</v>
      </c>
      <c r="AQ704" s="1">
        <v>2106.73684</v>
      </c>
      <c r="AR704" s="1">
        <v>2106.73684</v>
      </c>
      <c r="AS704" s="1">
        <v>526.68421000000001</v>
      </c>
      <c r="AT704" s="1">
        <v>73.735789400000002</v>
      </c>
      <c r="AU704" s="1">
        <v>0</v>
      </c>
      <c r="AV704" s="2" t="s">
        <v>69</v>
      </c>
      <c r="AW704" s="1">
        <v>1753.346</v>
      </c>
      <c r="AX704" s="1">
        <f>Table1[[#This Row],[Original Commissionable GMV]]-Table1[[#This Row],[Commission ]]-Table1[[#This Row],[Commission VAT]]-Table1[[#This Row],[FreeDeliveryFund]]</f>
        <v>1506.3168406000002</v>
      </c>
      <c r="AY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M704" s="2"/>
    </row>
    <row r="705" spans="12:65" x14ac:dyDescent="0.25">
      <c r="L705" s="2">
        <v>504016</v>
      </c>
      <c r="M705" s="2" t="s">
        <v>52</v>
      </c>
      <c r="N705" s="2">
        <v>505839</v>
      </c>
      <c r="O705" t="s">
        <v>53</v>
      </c>
      <c r="P705">
        <v>3416938007</v>
      </c>
      <c r="Q705" s="5">
        <v>46046.516284722224</v>
      </c>
      <c r="R705" s="2" t="s">
        <v>54</v>
      </c>
      <c r="S705" s="2" t="s">
        <v>51</v>
      </c>
      <c r="T705" s="2" t="s">
        <v>55</v>
      </c>
      <c r="U705" s="2" t="s">
        <v>59</v>
      </c>
      <c r="V705" s="2" t="s">
        <v>57</v>
      </c>
      <c r="W705" s="2" t="s">
        <v>58</v>
      </c>
      <c r="X705" s="2" t="s">
        <v>59</v>
      </c>
      <c r="Y705" s="1">
        <v>2069.94</v>
      </c>
      <c r="Z705" s="1">
        <v>2069.94</v>
      </c>
      <c r="AA705" s="1">
        <v>0</v>
      </c>
      <c r="AB705" s="1">
        <v>29.99</v>
      </c>
      <c r="AC705" s="1">
        <v>0</v>
      </c>
      <c r="AD705" s="1">
        <v>257.88614000000001</v>
      </c>
      <c r="AE705" s="1">
        <v>2099.9299999999998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53.1</v>
      </c>
      <c r="AM705" s="1">
        <v>30</v>
      </c>
      <c r="AN705" s="1">
        <v>4.2</v>
      </c>
      <c r="AO705" s="1">
        <v>36.223948249999999</v>
      </c>
      <c r="AP705" s="1">
        <v>5.0713527550000004</v>
      </c>
      <c r="AQ705" s="1">
        <v>1815.73684</v>
      </c>
      <c r="AR705" s="1">
        <v>1815.73684</v>
      </c>
      <c r="AS705" s="1">
        <v>453.93421000000001</v>
      </c>
      <c r="AT705" s="1">
        <v>63.550789399999999</v>
      </c>
      <c r="AU705" s="1">
        <v>34.99</v>
      </c>
      <c r="AV705" s="2" t="s">
        <v>60</v>
      </c>
      <c r="AW705" s="1">
        <v>1441.97</v>
      </c>
      <c r="AX705" s="1">
        <f>Table1[[#This Row],[Original Commissionable GMV]]-Table1[[#This Row],[Commission ]]-Table1[[#This Row],[Commission VAT]]-Table1[[#This Row],[FreeDeliveryFund]]</f>
        <v>1263.2618406000001</v>
      </c>
      <c r="AY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M705" s="2"/>
    </row>
    <row r="706" spans="12:65" x14ac:dyDescent="0.25">
      <c r="L706" s="2">
        <v>504016</v>
      </c>
      <c r="M706" s="2" t="s">
        <v>52</v>
      </c>
      <c r="N706" s="2">
        <v>505839</v>
      </c>
      <c r="O706" t="s">
        <v>65</v>
      </c>
      <c r="P706">
        <v>3417084112</v>
      </c>
      <c r="Q706" s="5">
        <v>46046.574374999997</v>
      </c>
      <c r="R706" s="2" t="s">
        <v>54</v>
      </c>
      <c r="S706" s="2" t="s">
        <v>51</v>
      </c>
      <c r="T706" s="2" t="s">
        <v>55</v>
      </c>
      <c r="U706" s="2" t="s">
        <v>59</v>
      </c>
      <c r="V706" s="2" t="s">
        <v>57</v>
      </c>
      <c r="W706" s="2" t="s">
        <v>58</v>
      </c>
      <c r="X706" s="2" t="s">
        <v>59</v>
      </c>
      <c r="Y706" s="1">
        <v>703.99</v>
      </c>
      <c r="Z706" s="1">
        <v>703.99</v>
      </c>
      <c r="AA706" s="1">
        <v>28.99</v>
      </c>
      <c r="AB706" s="1">
        <v>29.99</v>
      </c>
      <c r="AC706" s="1">
        <v>0</v>
      </c>
      <c r="AD706" s="1">
        <v>93.698070000000001</v>
      </c>
      <c r="AE706" s="1">
        <v>762.97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30</v>
      </c>
      <c r="AN706" s="1">
        <v>4.2</v>
      </c>
      <c r="AO706" s="1">
        <v>12.319825</v>
      </c>
      <c r="AP706" s="1">
        <v>1.7247755</v>
      </c>
      <c r="AQ706" s="1">
        <v>617.53508999999997</v>
      </c>
      <c r="AR706" s="1">
        <v>617.53508999999997</v>
      </c>
      <c r="AS706" s="1">
        <v>154.38377</v>
      </c>
      <c r="AT706" s="1">
        <v>21.613727799999999</v>
      </c>
      <c r="AU706" s="1">
        <v>0</v>
      </c>
      <c r="AV706" s="2" t="s">
        <v>69</v>
      </c>
      <c r="AW706" s="1">
        <v>479.74799999999999</v>
      </c>
      <c r="AX706" s="1">
        <f>Table1[[#This Row],[Original Commissionable GMV]]-Table1[[#This Row],[Commission ]]-Table1[[#This Row],[Commission VAT]]-Table1[[#This Row],[FreeDeliveryFund]]</f>
        <v>441.53759219999995</v>
      </c>
      <c r="AY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M706" s="2"/>
    </row>
    <row r="707" spans="12:65" x14ac:dyDescent="0.25">
      <c r="L707" s="2">
        <v>504016</v>
      </c>
      <c r="M707" s="2" t="s">
        <v>52</v>
      </c>
      <c r="N707" s="2">
        <v>505835</v>
      </c>
      <c r="O707" t="s">
        <v>53</v>
      </c>
      <c r="P707">
        <v>3417110816</v>
      </c>
      <c r="Q707" s="5">
        <v>46046.585162037038</v>
      </c>
      <c r="R707" s="2" t="s">
        <v>54</v>
      </c>
      <c r="S707" s="2" t="s">
        <v>51</v>
      </c>
      <c r="T707" s="2" t="s">
        <v>55</v>
      </c>
      <c r="U707" s="2" t="s">
        <v>56</v>
      </c>
      <c r="V707" s="2" t="s">
        <v>57</v>
      </c>
      <c r="W707" s="2" t="s">
        <v>58</v>
      </c>
      <c r="X707" s="2" t="s">
        <v>59</v>
      </c>
      <c r="Y707" s="1">
        <v>759.98</v>
      </c>
      <c r="Z707" s="1">
        <v>759.98</v>
      </c>
      <c r="AA707" s="1">
        <v>0</v>
      </c>
      <c r="AB707" s="1">
        <v>29.99</v>
      </c>
      <c r="AC707" s="1">
        <v>0</v>
      </c>
      <c r="AD707" s="1">
        <v>97.013859999999994</v>
      </c>
      <c r="AE707" s="1">
        <v>789.97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13.29965</v>
      </c>
      <c r="AP707" s="1">
        <v>1.8619509999999999</v>
      </c>
      <c r="AQ707" s="1">
        <v>666.64912000000004</v>
      </c>
      <c r="AR707" s="1">
        <v>666.64912000000004</v>
      </c>
      <c r="AS707" s="1">
        <v>166.66228000000001</v>
      </c>
      <c r="AT707" s="1">
        <v>23.3327192</v>
      </c>
      <c r="AU707" s="1">
        <v>33.99</v>
      </c>
      <c r="AV707" s="2" t="s">
        <v>60</v>
      </c>
      <c r="AW707" s="1">
        <v>520.83299999999997</v>
      </c>
      <c r="AX707" s="1">
        <f>Table1[[#This Row],[Original Commissionable GMV]]-Table1[[#This Row],[Commission ]]-Table1[[#This Row],[Commission VAT]]-Table1[[#This Row],[FreeDeliveryFund]]</f>
        <v>442.66412080000003</v>
      </c>
      <c r="AY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M707" s="2"/>
    </row>
    <row r="708" spans="12:65" x14ac:dyDescent="0.25">
      <c r="L708" s="2">
        <v>504016</v>
      </c>
      <c r="M708" s="2" t="s">
        <v>52</v>
      </c>
      <c r="N708" s="2">
        <v>505839</v>
      </c>
      <c r="O708" t="s">
        <v>53</v>
      </c>
      <c r="P708">
        <v>3417112827</v>
      </c>
      <c r="Q708" s="5">
        <v>46046.585972222223</v>
      </c>
      <c r="R708" s="2" t="s">
        <v>54</v>
      </c>
      <c r="S708" s="2" t="s">
        <v>51</v>
      </c>
      <c r="T708" s="2" t="s">
        <v>55</v>
      </c>
      <c r="U708" s="2" t="s">
        <v>56</v>
      </c>
      <c r="V708" s="2" t="s">
        <v>57</v>
      </c>
      <c r="W708" s="2" t="s">
        <v>58</v>
      </c>
      <c r="X708" s="2" t="s">
        <v>59</v>
      </c>
      <c r="Y708" s="1">
        <v>249.99</v>
      </c>
      <c r="Z708" s="1">
        <v>249.99</v>
      </c>
      <c r="AA708" s="1">
        <v>0</v>
      </c>
      <c r="AB708" s="1">
        <v>12.5</v>
      </c>
      <c r="AC708" s="1">
        <v>0</v>
      </c>
      <c r="AD708" s="1">
        <v>32.235610000000001</v>
      </c>
      <c r="AE708" s="1">
        <v>262.49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4.3748250000000004</v>
      </c>
      <c r="AP708" s="1">
        <v>0.61247549999999995</v>
      </c>
      <c r="AQ708" s="1">
        <v>219.28946999999999</v>
      </c>
      <c r="AR708" s="1">
        <v>219.28946999999999</v>
      </c>
      <c r="AS708" s="1">
        <v>54.822369999999999</v>
      </c>
      <c r="AT708" s="1">
        <v>7.6751317999999999</v>
      </c>
      <c r="AU708" s="1">
        <v>31.99</v>
      </c>
      <c r="AV708" s="2" t="s">
        <v>60</v>
      </c>
      <c r="AW708" s="1">
        <v>150.51499999999999</v>
      </c>
      <c r="AX708" s="1">
        <f>Table1[[#This Row],[Original Commissionable GMV]]-Table1[[#This Row],[Commission ]]-Table1[[#This Row],[Commission VAT]]-Table1[[#This Row],[FreeDeliveryFund]]</f>
        <v>124.80196819999999</v>
      </c>
      <c r="AY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M708" s="2"/>
    </row>
    <row r="709" spans="12:65" x14ac:dyDescent="0.25">
      <c r="L709" s="2">
        <v>504016</v>
      </c>
      <c r="M709" s="2" t="s">
        <v>52</v>
      </c>
      <c r="N709" s="2">
        <v>505839</v>
      </c>
      <c r="O709" t="s">
        <v>53</v>
      </c>
      <c r="P709">
        <v>3417118842</v>
      </c>
      <c r="Q709" s="5">
        <v>46046.588425925926</v>
      </c>
      <c r="R709" s="2" t="s">
        <v>54</v>
      </c>
      <c r="S709" s="2" t="s">
        <v>51</v>
      </c>
      <c r="T709" s="2" t="s">
        <v>55</v>
      </c>
      <c r="U709" s="2" t="s">
        <v>59</v>
      </c>
      <c r="V709" s="2" t="s">
        <v>57</v>
      </c>
      <c r="W709" s="2" t="s">
        <v>58</v>
      </c>
      <c r="X709" s="2" t="s">
        <v>59</v>
      </c>
      <c r="Y709" s="1">
        <v>250.99</v>
      </c>
      <c r="Z709" s="1">
        <v>250.99</v>
      </c>
      <c r="AA709" s="1">
        <v>0</v>
      </c>
      <c r="AB709" s="1">
        <v>12.55</v>
      </c>
      <c r="AC709" s="1">
        <v>0</v>
      </c>
      <c r="AD709" s="1">
        <v>32.364559999999997</v>
      </c>
      <c r="AE709" s="1">
        <v>263.54000000000002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4.3923249999999996</v>
      </c>
      <c r="AP709" s="1">
        <v>0.61492550000000001</v>
      </c>
      <c r="AQ709" s="1">
        <v>220.16667000000001</v>
      </c>
      <c r="AR709" s="1">
        <v>220.16667000000001</v>
      </c>
      <c r="AS709" s="1">
        <v>55.041670000000003</v>
      </c>
      <c r="AT709" s="1">
        <v>7.7058337999999997</v>
      </c>
      <c r="AU709" s="1">
        <v>30.99</v>
      </c>
      <c r="AV709" s="2" t="s">
        <v>60</v>
      </c>
      <c r="AW709" s="1">
        <v>152.245</v>
      </c>
      <c r="AX709" s="1">
        <f>Table1[[#This Row],[Original Commissionable GMV]]-Table1[[#This Row],[Commission ]]-Table1[[#This Row],[Commission VAT]]-Table1[[#This Row],[FreeDeliveryFund]]</f>
        <v>126.42916620000001</v>
      </c>
      <c r="AY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M709" s="2"/>
    </row>
    <row r="710" spans="12:65" x14ac:dyDescent="0.25">
      <c r="L710" s="2">
        <v>504016</v>
      </c>
      <c r="M710" s="2" t="s">
        <v>52</v>
      </c>
      <c r="N710" s="2">
        <v>505837</v>
      </c>
      <c r="O710" t="s">
        <v>63</v>
      </c>
      <c r="P710">
        <v>3417300858</v>
      </c>
      <c r="Q710" s="5">
        <v>46046.657164351855</v>
      </c>
      <c r="R710" s="2" t="s">
        <v>62</v>
      </c>
      <c r="S710" s="2" t="s">
        <v>51</v>
      </c>
      <c r="T710" s="2" t="s">
        <v>55</v>
      </c>
      <c r="U710" s="2" t="s">
        <v>59</v>
      </c>
      <c r="V710" s="2" t="s">
        <v>57</v>
      </c>
      <c r="W710" s="2" t="s">
        <v>58</v>
      </c>
      <c r="X710" s="2" t="s">
        <v>59</v>
      </c>
      <c r="Y710" s="1">
        <v>329</v>
      </c>
      <c r="Z710" s="1">
        <v>329</v>
      </c>
      <c r="AA710" s="1">
        <v>7</v>
      </c>
      <c r="AB710" s="1">
        <v>16.45</v>
      </c>
      <c r="AC710" s="1">
        <v>0</v>
      </c>
      <c r="AD710" s="1">
        <v>43.283329999999999</v>
      </c>
      <c r="AE710" s="1">
        <v>352.45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288.59649000000002</v>
      </c>
      <c r="AR710" s="1">
        <v>288.59649000000002</v>
      </c>
      <c r="AS710" s="1">
        <v>72.149119999999996</v>
      </c>
      <c r="AT710" s="1">
        <v>10.1008768</v>
      </c>
      <c r="AU710" s="1">
        <v>28.99</v>
      </c>
      <c r="AV710" s="2" t="s">
        <v>60</v>
      </c>
      <c r="AW710" s="1">
        <v>217.76</v>
      </c>
      <c r="AX710" s="1">
        <f>Table1[[#This Row],[Original Commissionable GMV]]-Table1[[#This Row],[Commission ]]-Table1[[#This Row],[Commission VAT]]-Table1[[#This Row],[FreeDeliveryFund]]</f>
        <v>177.35649320000002</v>
      </c>
      <c r="AY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M710" s="2"/>
    </row>
    <row r="711" spans="12:65" x14ac:dyDescent="0.25">
      <c r="L711" s="2">
        <v>504016</v>
      </c>
      <c r="M711" s="2" t="s">
        <v>52</v>
      </c>
      <c r="N711" s="2">
        <v>505835</v>
      </c>
      <c r="O711" t="s">
        <v>53</v>
      </c>
      <c r="P711">
        <v>3417356819</v>
      </c>
      <c r="Q711" s="5">
        <v>46046.677199074074</v>
      </c>
      <c r="R711" s="2" t="s">
        <v>54</v>
      </c>
      <c r="S711" s="2" t="s">
        <v>51</v>
      </c>
      <c r="T711" s="2" t="s">
        <v>55</v>
      </c>
      <c r="U711" s="2" t="s">
        <v>59</v>
      </c>
      <c r="V711" s="2" t="s">
        <v>57</v>
      </c>
      <c r="W711" s="2" t="s">
        <v>58</v>
      </c>
      <c r="X711" s="2" t="s">
        <v>59</v>
      </c>
      <c r="Y711" s="1">
        <v>1808.95</v>
      </c>
      <c r="Z711" s="1">
        <v>1808.95</v>
      </c>
      <c r="AA711" s="1">
        <v>34.99</v>
      </c>
      <c r="AB711" s="1">
        <v>29.99</v>
      </c>
      <c r="AC711" s="1">
        <v>0</v>
      </c>
      <c r="AD711" s="1">
        <v>230.13175000000001</v>
      </c>
      <c r="AE711" s="1">
        <v>1873.93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31.656626750000001</v>
      </c>
      <c r="AP711" s="1">
        <v>4.4319277450000003</v>
      </c>
      <c r="AQ711" s="1">
        <v>1586.7982500000001</v>
      </c>
      <c r="AR711" s="1">
        <v>1586.7982500000001</v>
      </c>
      <c r="AS711" s="1">
        <v>396.69956000000002</v>
      </c>
      <c r="AT711" s="1">
        <v>55.537938400000002</v>
      </c>
      <c r="AU711" s="1">
        <v>0</v>
      </c>
      <c r="AV711" s="2" t="s">
        <v>69</v>
      </c>
      <c r="AW711" s="1">
        <v>1320.624</v>
      </c>
      <c r="AX711" s="1">
        <f>Table1[[#This Row],[Original Commissionable GMV]]-Table1[[#This Row],[Commission ]]-Table1[[#This Row],[Commission VAT]]-Table1[[#This Row],[FreeDeliveryFund]]</f>
        <v>1134.5607516</v>
      </c>
      <c r="AY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M711" s="2"/>
    </row>
    <row r="712" spans="12:65" x14ac:dyDescent="0.25">
      <c r="L712" s="2">
        <v>504016</v>
      </c>
      <c r="M712" s="2" t="s">
        <v>52</v>
      </c>
      <c r="N712" s="2">
        <v>505839</v>
      </c>
      <c r="O712" t="s">
        <v>53</v>
      </c>
      <c r="P712">
        <v>3417387277</v>
      </c>
      <c r="Q712" s="5">
        <v>46046.687777777777</v>
      </c>
      <c r="R712" s="2" t="s">
        <v>54</v>
      </c>
      <c r="S712" s="2" t="s">
        <v>51</v>
      </c>
      <c r="T712" s="2" t="s">
        <v>55</v>
      </c>
      <c r="U712" s="2" t="s">
        <v>56</v>
      </c>
      <c r="V712" s="2" t="s">
        <v>57</v>
      </c>
      <c r="W712" s="2" t="s">
        <v>58</v>
      </c>
      <c r="X712" s="2" t="s">
        <v>59</v>
      </c>
      <c r="Y712" s="1">
        <v>444.99</v>
      </c>
      <c r="Z712" s="1">
        <v>444.99</v>
      </c>
      <c r="AA712" s="1">
        <v>9</v>
      </c>
      <c r="AB712" s="1">
        <v>22.25</v>
      </c>
      <c r="AC712" s="1">
        <v>0</v>
      </c>
      <c r="AD712" s="1">
        <v>58.485610000000001</v>
      </c>
      <c r="AE712" s="1">
        <v>476.24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7.7873250000000001</v>
      </c>
      <c r="AP712" s="1">
        <v>1.0902255000000001</v>
      </c>
      <c r="AQ712" s="1">
        <v>390.34210999999999</v>
      </c>
      <c r="AR712" s="1">
        <v>390.34210999999999</v>
      </c>
      <c r="AS712" s="1">
        <v>97.585530000000006</v>
      </c>
      <c r="AT712" s="1">
        <v>13.6619742</v>
      </c>
      <c r="AU712" s="1">
        <v>30.99</v>
      </c>
      <c r="AV712" s="2" t="s">
        <v>60</v>
      </c>
      <c r="AW712" s="1">
        <v>293.875</v>
      </c>
      <c r="AX712" s="1">
        <f>Table1[[#This Row],[Original Commissionable GMV]]-Table1[[#This Row],[Commission ]]-Table1[[#This Row],[Commission VAT]]-Table1[[#This Row],[FreeDeliveryFund]]</f>
        <v>248.1046058</v>
      </c>
      <c r="AY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M712" s="2"/>
    </row>
    <row r="713" spans="12:65" x14ac:dyDescent="0.25">
      <c r="L713" s="2">
        <v>504016</v>
      </c>
      <c r="M713" s="2" t="s">
        <v>52</v>
      </c>
      <c r="N713" s="2">
        <v>505837</v>
      </c>
      <c r="O713" t="s">
        <v>63</v>
      </c>
      <c r="P713">
        <v>3417406159</v>
      </c>
      <c r="Q713" s="5">
        <v>46046.694074074076</v>
      </c>
      <c r="R713" s="2" t="s">
        <v>54</v>
      </c>
      <c r="S713" s="2" t="s">
        <v>51</v>
      </c>
      <c r="T713" s="2" t="s">
        <v>55</v>
      </c>
      <c r="U713" s="2" t="s">
        <v>56</v>
      </c>
      <c r="V713" s="2" t="s">
        <v>57</v>
      </c>
      <c r="W713" s="2" t="s">
        <v>58</v>
      </c>
      <c r="X713" s="2" t="s">
        <v>59</v>
      </c>
      <c r="Y713" s="1">
        <v>409.98</v>
      </c>
      <c r="Z713" s="1">
        <v>409.98</v>
      </c>
      <c r="AA713" s="1">
        <v>0</v>
      </c>
      <c r="AB713" s="1">
        <v>20.5</v>
      </c>
      <c r="AC713" s="1">
        <v>0</v>
      </c>
      <c r="AD713" s="1">
        <v>52.865960000000001</v>
      </c>
      <c r="AE713" s="1">
        <v>430.48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7.1746499999999997</v>
      </c>
      <c r="AP713" s="1">
        <v>1.004451</v>
      </c>
      <c r="AQ713" s="1">
        <v>359.63157999999999</v>
      </c>
      <c r="AR713" s="1">
        <v>359.63157999999999</v>
      </c>
      <c r="AS713" s="1">
        <v>89.907899999999998</v>
      </c>
      <c r="AT713" s="1">
        <v>12.587106</v>
      </c>
      <c r="AU713" s="1">
        <v>28.99</v>
      </c>
      <c r="AV713" s="2" t="s">
        <v>60</v>
      </c>
      <c r="AW713" s="1">
        <v>270.31599999999997</v>
      </c>
      <c r="AX713" s="1">
        <f>Table1[[#This Row],[Original Commissionable GMV]]-Table1[[#This Row],[Commission ]]-Table1[[#This Row],[Commission VAT]]-Table1[[#This Row],[FreeDeliveryFund]]</f>
        <v>228.14657399999999</v>
      </c>
      <c r="AY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M713" s="2"/>
    </row>
    <row r="714" spans="12:65" x14ac:dyDescent="0.25">
      <c r="L714" s="2">
        <v>504016</v>
      </c>
      <c r="M714" s="2" t="s">
        <v>52</v>
      </c>
      <c r="N714" s="2">
        <v>505839</v>
      </c>
      <c r="O714" t="s">
        <v>63</v>
      </c>
      <c r="P714">
        <v>3417461596</v>
      </c>
      <c r="Q714" s="5">
        <v>46046.711539351854</v>
      </c>
      <c r="R714" s="2" t="s">
        <v>54</v>
      </c>
      <c r="S714" s="2" t="s">
        <v>51</v>
      </c>
      <c r="T714" s="2" t="s">
        <v>55</v>
      </c>
      <c r="U714" s="2" t="s">
        <v>59</v>
      </c>
      <c r="V714" s="2" t="s">
        <v>57</v>
      </c>
      <c r="W714" s="2" t="s">
        <v>58</v>
      </c>
      <c r="X714" s="2" t="s">
        <v>59</v>
      </c>
      <c r="Y714" s="1">
        <v>646.98</v>
      </c>
      <c r="Z714" s="1">
        <v>646.98</v>
      </c>
      <c r="AA714" s="1">
        <v>0</v>
      </c>
      <c r="AB714" s="1">
        <v>29.99</v>
      </c>
      <c r="AC714" s="1">
        <v>0</v>
      </c>
      <c r="AD714" s="1">
        <v>83.136669999999995</v>
      </c>
      <c r="AE714" s="1">
        <v>676.97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11.322150000000001</v>
      </c>
      <c r="AP714" s="1">
        <v>1.5851010000000001</v>
      </c>
      <c r="AQ714" s="1">
        <v>567.52632000000006</v>
      </c>
      <c r="AR714" s="1">
        <v>567.52632000000006</v>
      </c>
      <c r="AS714" s="1">
        <v>141.88158000000001</v>
      </c>
      <c r="AT714" s="1">
        <v>19.863421200000001</v>
      </c>
      <c r="AU714" s="1">
        <v>29.99</v>
      </c>
      <c r="AV714" s="2" t="s">
        <v>60</v>
      </c>
      <c r="AW714" s="1">
        <v>442.33800000000002</v>
      </c>
      <c r="AX714" s="1">
        <f>Table1[[#This Row],[Original Commissionable GMV]]-Table1[[#This Row],[Commission ]]-Table1[[#This Row],[Commission VAT]]-Table1[[#This Row],[FreeDeliveryFund]]</f>
        <v>375.79131880000006</v>
      </c>
      <c r="AY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M714" s="2"/>
    </row>
    <row r="715" spans="12:65" x14ac:dyDescent="0.25">
      <c r="L715" s="2">
        <v>504016</v>
      </c>
      <c r="M715" s="2" t="s">
        <v>52</v>
      </c>
      <c r="N715" s="2">
        <v>505837</v>
      </c>
      <c r="O715" t="s">
        <v>63</v>
      </c>
      <c r="P715">
        <v>3417464680</v>
      </c>
      <c r="Q715" s="5">
        <v>46046.712500000001</v>
      </c>
      <c r="R715" s="2" t="s">
        <v>54</v>
      </c>
      <c r="S715" s="2" t="s">
        <v>51</v>
      </c>
      <c r="T715" s="2" t="s">
        <v>55</v>
      </c>
      <c r="U715" s="2" t="s">
        <v>59</v>
      </c>
      <c r="V715" s="2" t="s">
        <v>57</v>
      </c>
      <c r="W715" s="2" t="s">
        <v>58</v>
      </c>
      <c r="X715" s="2" t="s">
        <v>59</v>
      </c>
      <c r="Y715" s="1">
        <v>591.98</v>
      </c>
      <c r="Z715" s="1">
        <v>591.98</v>
      </c>
      <c r="AA715" s="1">
        <v>0</v>
      </c>
      <c r="AB715" s="1">
        <v>29.6</v>
      </c>
      <c r="AC715" s="1">
        <v>0</v>
      </c>
      <c r="AD715" s="1">
        <v>76.334389999999999</v>
      </c>
      <c r="AE715" s="1">
        <v>621.58000000000004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10.35965</v>
      </c>
      <c r="AP715" s="1">
        <v>1.4503509999999999</v>
      </c>
      <c r="AQ715" s="1">
        <v>519.28070000000002</v>
      </c>
      <c r="AR715" s="1">
        <v>519.28070000000002</v>
      </c>
      <c r="AS715" s="1">
        <v>129.82017999999999</v>
      </c>
      <c r="AT715" s="1">
        <v>18.174825200000001</v>
      </c>
      <c r="AU715" s="1">
        <v>29.99</v>
      </c>
      <c r="AV715" s="2" t="s">
        <v>60</v>
      </c>
      <c r="AW715" s="1">
        <v>402.185</v>
      </c>
      <c r="AX715" s="1">
        <f>Table1[[#This Row],[Original Commissionable GMV]]-Table1[[#This Row],[Commission ]]-Table1[[#This Row],[Commission VAT]]-Table1[[#This Row],[FreeDeliveryFund]]</f>
        <v>341.29569480000004</v>
      </c>
      <c r="AY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M715" s="2"/>
    </row>
    <row r="716" spans="12:65" x14ac:dyDescent="0.25">
      <c r="L716" s="2">
        <v>504016</v>
      </c>
      <c r="M716" s="2" t="s">
        <v>52</v>
      </c>
      <c r="N716" s="2">
        <v>505835</v>
      </c>
      <c r="O716" t="s">
        <v>63</v>
      </c>
      <c r="P716">
        <v>3417504236</v>
      </c>
      <c r="Q716" s="5">
        <v>46046.72446759259</v>
      </c>
      <c r="R716" s="2" t="s">
        <v>54</v>
      </c>
      <c r="S716" s="2" t="s">
        <v>51</v>
      </c>
      <c r="T716" s="2" t="s">
        <v>55</v>
      </c>
      <c r="U716" s="2" t="s">
        <v>59</v>
      </c>
      <c r="V716" s="2" t="s">
        <v>57</v>
      </c>
      <c r="W716" s="2" t="s">
        <v>58</v>
      </c>
      <c r="X716" s="2" t="s">
        <v>59</v>
      </c>
      <c r="Y716" s="1">
        <v>362.99</v>
      </c>
      <c r="Z716" s="1">
        <v>362.99</v>
      </c>
      <c r="AA716" s="1">
        <v>26.99</v>
      </c>
      <c r="AB716" s="1">
        <v>18.149999999999999</v>
      </c>
      <c r="AC716" s="1">
        <v>0</v>
      </c>
      <c r="AD716" s="1">
        <v>50.121229999999997</v>
      </c>
      <c r="AE716" s="1">
        <v>408.13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6.3523250000000004</v>
      </c>
      <c r="AP716" s="1">
        <v>0.88932549999999999</v>
      </c>
      <c r="AQ716" s="1">
        <v>318.41228000000001</v>
      </c>
      <c r="AR716" s="1">
        <v>318.41228000000001</v>
      </c>
      <c r="AS716" s="1">
        <v>79.603070000000002</v>
      </c>
      <c r="AT716" s="1">
        <v>11.144429799999999</v>
      </c>
      <c r="AU716" s="1">
        <v>0</v>
      </c>
      <c r="AV716" s="2" t="s">
        <v>69</v>
      </c>
      <c r="AW716" s="1">
        <v>265.00099999999998</v>
      </c>
      <c r="AX716" s="1">
        <f>Table1[[#This Row],[Original Commissionable GMV]]-Table1[[#This Row],[Commission ]]-Table1[[#This Row],[Commission VAT]]-Table1[[#This Row],[FreeDeliveryFund]]</f>
        <v>227.6647802</v>
      </c>
      <c r="AY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M716" s="2"/>
    </row>
    <row r="717" spans="12:65" x14ac:dyDescent="0.25">
      <c r="L717" s="2">
        <v>504016</v>
      </c>
      <c r="M717" s="2" t="s">
        <v>52</v>
      </c>
      <c r="N717" s="2">
        <v>505839</v>
      </c>
      <c r="O717" t="s">
        <v>53</v>
      </c>
      <c r="P717">
        <v>3417550791</v>
      </c>
      <c r="Q717" s="5">
        <v>46046.73847222222</v>
      </c>
      <c r="R717" s="2" t="s">
        <v>54</v>
      </c>
      <c r="S717" s="2" t="s">
        <v>51</v>
      </c>
      <c r="T717" s="2" t="s">
        <v>55</v>
      </c>
      <c r="U717" s="2" t="s">
        <v>56</v>
      </c>
      <c r="V717" s="2" t="s">
        <v>57</v>
      </c>
      <c r="W717" s="2" t="s">
        <v>58</v>
      </c>
      <c r="X717" s="2" t="s">
        <v>59</v>
      </c>
      <c r="Y717" s="1">
        <v>642.98</v>
      </c>
      <c r="Z717" s="1">
        <v>642.98</v>
      </c>
      <c r="AA717" s="1">
        <v>34.99</v>
      </c>
      <c r="AB717" s="1">
        <v>29.99</v>
      </c>
      <c r="AC717" s="1">
        <v>0</v>
      </c>
      <c r="AD717" s="1">
        <v>86.942459999999997</v>
      </c>
      <c r="AE717" s="1">
        <v>707.96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11.25215</v>
      </c>
      <c r="AP717" s="1">
        <v>1.5753010000000001</v>
      </c>
      <c r="AQ717" s="1">
        <v>564.01754000000005</v>
      </c>
      <c r="AR717" s="1">
        <v>564.01754000000005</v>
      </c>
      <c r="AS717" s="1">
        <v>141.00439</v>
      </c>
      <c r="AT717" s="1">
        <v>19.740614600000001</v>
      </c>
      <c r="AU717" s="1">
        <v>0</v>
      </c>
      <c r="AV717" s="2" t="s">
        <v>69</v>
      </c>
      <c r="AW717" s="1">
        <v>469.40800000000002</v>
      </c>
      <c r="AX717" s="1">
        <f>Table1[[#This Row],[Original Commissionable GMV]]-Table1[[#This Row],[Commission ]]-Table1[[#This Row],[Commission VAT]]-Table1[[#This Row],[FreeDeliveryFund]]</f>
        <v>403.27253540000004</v>
      </c>
      <c r="AY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M717" s="2"/>
    </row>
    <row r="718" spans="12:65" x14ac:dyDescent="0.25">
      <c r="L718" s="2">
        <v>504016</v>
      </c>
      <c r="M718" s="2" t="s">
        <v>52</v>
      </c>
      <c r="N718" s="2">
        <v>505837</v>
      </c>
      <c r="O718" t="s">
        <v>53</v>
      </c>
      <c r="P718">
        <v>3417576918</v>
      </c>
      <c r="Q718" s="5">
        <v>46046.746319444443</v>
      </c>
      <c r="R718" s="2" t="s">
        <v>54</v>
      </c>
      <c r="S718" s="2" t="s">
        <v>51</v>
      </c>
      <c r="T718" s="2" t="s">
        <v>55</v>
      </c>
      <c r="U718" s="2" t="s">
        <v>59</v>
      </c>
      <c r="V718" s="2" t="s">
        <v>57</v>
      </c>
      <c r="W718" s="2" t="s">
        <v>58</v>
      </c>
      <c r="X718" s="2" t="s">
        <v>59</v>
      </c>
      <c r="Y718" s="1">
        <v>591.49</v>
      </c>
      <c r="Z718" s="1">
        <v>591.49</v>
      </c>
      <c r="AA718" s="1">
        <v>0</v>
      </c>
      <c r="AB718" s="1">
        <v>29.57</v>
      </c>
      <c r="AC718" s="1">
        <v>0</v>
      </c>
      <c r="AD718" s="1">
        <v>76.270529999999994</v>
      </c>
      <c r="AE718" s="1">
        <v>621.05999999999995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10.351075</v>
      </c>
      <c r="AP718" s="1">
        <v>1.4491505</v>
      </c>
      <c r="AQ718" s="1">
        <v>518.85087999999996</v>
      </c>
      <c r="AR718" s="1">
        <v>518.85087999999996</v>
      </c>
      <c r="AS718" s="1">
        <v>129.71271999999999</v>
      </c>
      <c r="AT718" s="1">
        <v>18.1597808</v>
      </c>
      <c r="AU718" s="1">
        <v>34.99</v>
      </c>
      <c r="AV718" s="2" t="s">
        <v>60</v>
      </c>
      <c r="AW718" s="1">
        <v>396.827</v>
      </c>
      <c r="AX718" s="1">
        <f>Table1[[#This Row],[Original Commissionable GMV]]-Table1[[#This Row],[Commission ]]-Table1[[#This Row],[Commission VAT]]-Table1[[#This Row],[FreeDeliveryFund]]</f>
        <v>335.98837919999994</v>
      </c>
      <c r="AY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M718" s="2"/>
    </row>
    <row r="719" spans="12:65" x14ac:dyDescent="0.25">
      <c r="L719" s="2">
        <v>504016</v>
      </c>
      <c r="M719" s="2" t="s">
        <v>52</v>
      </c>
      <c r="N719" s="2">
        <v>505839</v>
      </c>
      <c r="O719" t="s">
        <v>65</v>
      </c>
      <c r="P719">
        <v>3417644445</v>
      </c>
      <c r="Q719" s="5">
        <v>46046.765925925924</v>
      </c>
      <c r="R719" s="2" t="s">
        <v>62</v>
      </c>
      <c r="S719" s="2" t="s">
        <v>51</v>
      </c>
      <c r="T719" s="2" t="s">
        <v>55</v>
      </c>
      <c r="U719" s="2" t="s">
        <v>56</v>
      </c>
      <c r="V719" s="2" t="s">
        <v>57</v>
      </c>
      <c r="W719" s="2" t="s">
        <v>58</v>
      </c>
      <c r="X719" s="2" t="s">
        <v>59</v>
      </c>
      <c r="Y719" s="1">
        <v>745.98</v>
      </c>
      <c r="Z719" s="1">
        <v>745.98</v>
      </c>
      <c r="AA719" s="1">
        <v>34.99</v>
      </c>
      <c r="AB719" s="1">
        <v>29.99</v>
      </c>
      <c r="AC719" s="1">
        <v>0</v>
      </c>
      <c r="AD719" s="1">
        <v>99.591579999999993</v>
      </c>
      <c r="AE719" s="1">
        <v>810.96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30</v>
      </c>
      <c r="AN719" s="1">
        <v>4.2</v>
      </c>
      <c r="AO719" s="1">
        <v>0</v>
      </c>
      <c r="AP719" s="1">
        <v>0</v>
      </c>
      <c r="AQ719" s="1">
        <v>654.36842000000001</v>
      </c>
      <c r="AR719" s="1">
        <v>654.36842000000001</v>
      </c>
      <c r="AS719" s="1">
        <v>163.59210999999999</v>
      </c>
      <c r="AT719" s="1">
        <v>22.902895399999998</v>
      </c>
      <c r="AU719" s="1">
        <v>0</v>
      </c>
      <c r="AV719" s="2" t="s">
        <v>69</v>
      </c>
      <c r="AW719" s="1">
        <v>525.28499999999997</v>
      </c>
      <c r="AX719" s="1">
        <f>Table1[[#This Row],[Original Commissionable GMV]]-Table1[[#This Row],[Commission ]]-Table1[[#This Row],[Commission VAT]]-Table1[[#This Row],[FreeDeliveryFund]]</f>
        <v>467.87341460000005</v>
      </c>
      <c r="AY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M719" s="2"/>
    </row>
    <row r="720" spans="12:65" x14ac:dyDescent="0.25">
      <c r="L720" s="2">
        <v>504016</v>
      </c>
      <c r="M720" s="2" t="s">
        <v>52</v>
      </c>
      <c r="N720" s="2">
        <v>505837</v>
      </c>
      <c r="O720" t="s">
        <v>53</v>
      </c>
      <c r="P720">
        <v>3417648876</v>
      </c>
      <c r="Q720" s="5">
        <v>46046.767175925925</v>
      </c>
      <c r="R720" s="2" t="s">
        <v>54</v>
      </c>
      <c r="S720" s="2" t="s">
        <v>51</v>
      </c>
      <c r="T720" s="2" t="s">
        <v>55</v>
      </c>
      <c r="U720" s="2" t="s">
        <v>56</v>
      </c>
      <c r="V720" s="2" t="s">
        <v>57</v>
      </c>
      <c r="W720" s="2" t="s">
        <v>58</v>
      </c>
      <c r="X720" s="2" t="s">
        <v>59</v>
      </c>
      <c r="Y720" s="1">
        <v>363.99</v>
      </c>
      <c r="Z720" s="1">
        <v>363.99</v>
      </c>
      <c r="AA720" s="1">
        <v>0</v>
      </c>
      <c r="AB720" s="1">
        <v>18.2</v>
      </c>
      <c r="AC720" s="1">
        <v>0</v>
      </c>
      <c r="AD720" s="1">
        <v>46.935609999999997</v>
      </c>
      <c r="AE720" s="1">
        <v>382.19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6.3698249999999996</v>
      </c>
      <c r="AP720" s="1">
        <v>0.89177550000000005</v>
      </c>
      <c r="AQ720" s="1">
        <v>319.28946999999999</v>
      </c>
      <c r="AR720" s="1">
        <v>319.28946999999999</v>
      </c>
      <c r="AS720" s="1">
        <v>79.822370000000006</v>
      </c>
      <c r="AT720" s="1">
        <v>11.175131800000001</v>
      </c>
      <c r="AU720" s="1">
        <v>31.99</v>
      </c>
      <c r="AV720" s="2" t="s">
        <v>60</v>
      </c>
      <c r="AW720" s="1">
        <v>233.74100000000001</v>
      </c>
      <c r="AX720" s="1">
        <f>Table1[[#This Row],[Original Commissionable GMV]]-Table1[[#This Row],[Commission ]]-Table1[[#This Row],[Commission VAT]]-Table1[[#This Row],[FreeDeliveryFund]]</f>
        <v>196.30196819999998</v>
      </c>
      <c r="AY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M720" s="2"/>
    </row>
    <row r="721" spans="12:65" x14ac:dyDescent="0.25">
      <c r="L721" s="2">
        <v>504016</v>
      </c>
      <c r="M721" s="2" t="s">
        <v>52</v>
      </c>
      <c r="N721" s="2">
        <v>505835</v>
      </c>
      <c r="O721" t="s">
        <v>53</v>
      </c>
      <c r="P721">
        <v>3417685484</v>
      </c>
      <c r="Q721" s="5">
        <v>46046.777766203704</v>
      </c>
      <c r="R721" s="2" t="s">
        <v>62</v>
      </c>
      <c r="S721" s="2" t="s">
        <v>51</v>
      </c>
      <c r="T721" s="2" t="s">
        <v>55</v>
      </c>
      <c r="U721" s="2" t="s">
        <v>56</v>
      </c>
      <c r="V721" s="2" t="s">
        <v>57</v>
      </c>
      <c r="W721" s="2" t="s">
        <v>58</v>
      </c>
      <c r="X721" s="2" t="s">
        <v>59</v>
      </c>
      <c r="Y721" s="1">
        <v>859.97</v>
      </c>
      <c r="Z721" s="1">
        <v>859.97</v>
      </c>
      <c r="AA721" s="1">
        <v>32.99</v>
      </c>
      <c r="AB721" s="1">
        <v>29.99</v>
      </c>
      <c r="AC721" s="1">
        <v>0</v>
      </c>
      <c r="AD721" s="1">
        <v>113.34474</v>
      </c>
      <c r="AE721" s="1">
        <v>922.95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754.35964999999999</v>
      </c>
      <c r="AR721" s="1">
        <v>754.35964999999999</v>
      </c>
      <c r="AS721" s="1">
        <v>188.58991</v>
      </c>
      <c r="AT721" s="1">
        <v>26.402587400000002</v>
      </c>
      <c r="AU721" s="1">
        <v>0</v>
      </c>
      <c r="AV721" s="2" t="s">
        <v>69</v>
      </c>
      <c r="AW721" s="1">
        <v>644.97799999999995</v>
      </c>
      <c r="AX721" s="1">
        <f>Table1[[#This Row],[Original Commissionable GMV]]-Table1[[#This Row],[Commission ]]-Table1[[#This Row],[Commission VAT]]-Table1[[#This Row],[FreeDeliveryFund]]</f>
        <v>539.36715259999994</v>
      </c>
      <c r="AY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M721" s="2"/>
    </row>
    <row r="722" spans="12:65" x14ac:dyDescent="0.25">
      <c r="L722" s="2">
        <v>504016</v>
      </c>
      <c r="M722" s="2" t="s">
        <v>52</v>
      </c>
      <c r="N722" s="2">
        <v>505837</v>
      </c>
      <c r="O722" t="s">
        <v>63</v>
      </c>
      <c r="P722">
        <v>3417719010</v>
      </c>
      <c r="Q722" s="5">
        <v>46046.787442129629</v>
      </c>
      <c r="R722" s="2" t="s">
        <v>54</v>
      </c>
      <c r="S722" s="2" t="s">
        <v>51</v>
      </c>
      <c r="T722" s="2" t="s">
        <v>55</v>
      </c>
      <c r="U722" s="2" t="s">
        <v>59</v>
      </c>
      <c r="V722" s="2" t="s">
        <v>57</v>
      </c>
      <c r="W722" s="2" t="s">
        <v>58</v>
      </c>
      <c r="X722" s="2" t="s">
        <v>59</v>
      </c>
      <c r="Y722" s="1">
        <v>836.27</v>
      </c>
      <c r="Z722" s="1">
        <v>836.27</v>
      </c>
      <c r="AA722" s="1">
        <v>29.99</v>
      </c>
      <c r="AB722" s="1">
        <v>29.99</v>
      </c>
      <c r="AC722" s="1">
        <v>0</v>
      </c>
      <c r="AD722" s="1">
        <v>110.06579000000001</v>
      </c>
      <c r="AE722" s="1">
        <v>896.25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14.634725</v>
      </c>
      <c r="AP722" s="1">
        <v>2.0488615000000001</v>
      </c>
      <c r="AQ722" s="1">
        <v>733.57018000000005</v>
      </c>
      <c r="AR722" s="1">
        <v>733.57018000000005</v>
      </c>
      <c r="AS722" s="1">
        <v>183.39255</v>
      </c>
      <c r="AT722" s="1">
        <v>25.674956999999999</v>
      </c>
      <c r="AU722" s="1">
        <v>0</v>
      </c>
      <c r="AV722" s="2" t="s">
        <v>69</v>
      </c>
      <c r="AW722" s="1">
        <v>610.51900000000001</v>
      </c>
      <c r="AX722" s="1">
        <f>Table1[[#This Row],[Original Commissionable GMV]]-Table1[[#This Row],[Commission ]]-Table1[[#This Row],[Commission VAT]]-Table1[[#This Row],[FreeDeliveryFund]]</f>
        <v>524.50267300000007</v>
      </c>
      <c r="AY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M722" s="2"/>
    </row>
    <row r="723" spans="12:65" x14ac:dyDescent="0.25">
      <c r="L723" s="2">
        <v>504016</v>
      </c>
      <c r="M723" s="2" t="s">
        <v>52</v>
      </c>
      <c r="N723" s="2">
        <v>505839</v>
      </c>
      <c r="O723" t="s">
        <v>53</v>
      </c>
      <c r="P723">
        <v>3417722978</v>
      </c>
      <c r="Q723" s="5">
        <v>46046.788599537038</v>
      </c>
      <c r="R723" s="2" t="s">
        <v>54</v>
      </c>
      <c r="S723" s="2" t="s">
        <v>51</v>
      </c>
      <c r="T723" s="2" t="s">
        <v>55</v>
      </c>
      <c r="U723" s="2" t="s">
        <v>56</v>
      </c>
      <c r="V723" s="2" t="s">
        <v>57</v>
      </c>
      <c r="W723" s="2" t="s">
        <v>58</v>
      </c>
      <c r="X723" s="2" t="s">
        <v>59</v>
      </c>
      <c r="Y723" s="1">
        <v>1110.96</v>
      </c>
      <c r="Z723" s="1">
        <v>1110.96</v>
      </c>
      <c r="AA723" s="1">
        <v>34.99</v>
      </c>
      <c r="AB723" s="1">
        <v>29.99</v>
      </c>
      <c r="AC723" s="1">
        <v>0</v>
      </c>
      <c r="AD723" s="1">
        <v>144.41368</v>
      </c>
      <c r="AE723" s="1">
        <v>1175.94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19.441798250000002</v>
      </c>
      <c r="AP723" s="1">
        <v>2.7218517549999999</v>
      </c>
      <c r="AQ723" s="1">
        <v>974.52632000000006</v>
      </c>
      <c r="AR723" s="1">
        <v>974.52632000000006</v>
      </c>
      <c r="AS723" s="1">
        <v>243.63158000000001</v>
      </c>
      <c r="AT723" s="1">
        <v>34.108421200000002</v>
      </c>
      <c r="AU723" s="1">
        <v>0</v>
      </c>
      <c r="AV723" s="2" t="s">
        <v>69</v>
      </c>
      <c r="AW723" s="1">
        <v>811.05600000000004</v>
      </c>
      <c r="AX723" s="1">
        <f>Table1[[#This Row],[Original Commissionable GMV]]-Table1[[#This Row],[Commission ]]-Table1[[#This Row],[Commission VAT]]-Table1[[#This Row],[FreeDeliveryFund]]</f>
        <v>696.78631880000012</v>
      </c>
      <c r="AY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M723" s="2"/>
    </row>
    <row r="724" spans="12:65" x14ac:dyDescent="0.25">
      <c r="L724" s="2">
        <v>504016</v>
      </c>
      <c r="M724" s="2" t="s">
        <v>52</v>
      </c>
      <c r="N724" s="2">
        <v>505839</v>
      </c>
      <c r="O724" t="s">
        <v>53</v>
      </c>
      <c r="P724">
        <v>3417754056</v>
      </c>
      <c r="Q724" s="5">
        <v>46046.797650462962</v>
      </c>
      <c r="R724" s="2" t="s">
        <v>54</v>
      </c>
      <c r="S724" s="2" t="s">
        <v>51</v>
      </c>
      <c r="T724" s="2" t="s">
        <v>55</v>
      </c>
      <c r="U724" s="2" t="s">
        <v>59</v>
      </c>
      <c r="V724" s="2" t="s">
        <v>57</v>
      </c>
      <c r="W724" s="2" t="s">
        <v>58</v>
      </c>
      <c r="X724" s="2" t="s">
        <v>59</v>
      </c>
      <c r="Y724" s="1">
        <v>321.25</v>
      </c>
      <c r="Z724" s="1">
        <v>321.25</v>
      </c>
      <c r="AA724" s="1">
        <v>0</v>
      </c>
      <c r="AB724" s="1">
        <v>29.99</v>
      </c>
      <c r="AC724" s="1">
        <v>0</v>
      </c>
      <c r="AD724" s="1">
        <v>43.134740000000001</v>
      </c>
      <c r="AE724" s="1">
        <v>351.24</v>
      </c>
      <c r="AF724" s="1">
        <v>780.23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5.7793749999999999</v>
      </c>
      <c r="AP724" s="1">
        <v>0.80911250000000001</v>
      </c>
      <c r="AQ724" s="1">
        <v>650.21052999999995</v>
      </c>
      <c r="AR724" s="1">
        <v>650.21052999999995</v>
      </c>
      <c r="AS724" s="1">
        <v>162.55262999999999</v>
      </c>
      <c r="AT724" s="1">
        <v>22.757368199999998</v>
      </c>
      <c r="AU724" s="1">
        <v>34.99</v>
      </c>
      <c r="AV724" s="2" t="s">
        <v>60</v>
      </c>
      <c r="AW724" s="1">
        <v>94.361999999999995</v>
      </c>
      <c r="AX724" s="1">
        <f>Table1[[#This Row],[Original Commissionable GMV]]-Table1[[#This Row],[Commission ]]-Table1[[#This Row],[Commission VAT]]-Table1[[#This Row],[FreeDeliveryFund]]</f>
        <v>429.91053179999994</v>
      </c>
      <c r="AY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M724" s="2"/>
    </row>
    <row r="725" spans="12:65" x14ac:dyDescent="0.25">
      <c r="L725" s="2">
        <v>504016</v>
      </c>
      <c r="M725" s="2" t="s">
        <v>52</v>
      </c>
      <c r="N725" s="2">
        <v>505839</v>
      </c>
      <c r="O725" t="s">
        <v>65</v>
      </c>
      <c r="P725">
        <v>3417770629</v>
      </c>
      <c r="Q725" s="5">
        <v>46046.802511574075</v>
      </c>
      <c r="R725" s="2" t="s">
        <v>54</v>
      </c>
      <c r="S725" s="2" t="s">
        <v>51</v>
      </c>
      <c r="T725" s="2" t="s">
        <v>55</v>
      </c>
      <c r="U725" s="2" t="s">
        <v>59</v>
      </c>
      <c r="V725" s="2" t="s">
        <v>57</v>
      </c>
      <c r="W725" s="2" t="s">
        <v>58</v>
      </c>
      <c r="X725" s="2" t="s">
        <v>59</v>
      </c>
      <c r="Y725" s="1">
        <v>179.99</v>
      </c>
      <c r="Z725" s="1">
        <v>179.99</v>
      </c>
      <c r="AA725" s="1">
        <v>0</v>
      </c>
      <c r="AB725" s="1">
        <v>9</v>
      </c>
      <c r="AC725" s="1">
        <v>0</v>
      </c>
      <c r="AD725" s="1">
        <v>23.209299999999999</v>
      </c>
      <c r="AE725" s="1">
        <v>188.99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3.1498249999999999</v>
      </c>
      <c r="AP725" s="1">
        <v>0.44097550000000002</v>
      </c>
      <c r="AQ725" s="1">
        <v>157.88596000000001</v>
      </c>
      <c r="AR725" s="1">
        <v>157.88596000000001</v>
      </c>
      <c r="AS725" s="1">
        <v>39.471490000000003</v>
      </c>
      <c r="AT725" s="1">
        <v>5.5260085999999999</v>
      </c>
      <c r="AU725" s="1">
        <v>28.99</v>
      </c>
      <c r="AV725" s="2" t="s">
        <v>60</v>
      </c>
      <c r="AW725" s="1">
        <v>102.41200000000001</v>
      </c>
      <c r="AX725" s="1">
        <f>Table1[[#This Row],[Original Commissionable GMV]]-Table1[[#This Row],[Commission ]]-Table1[[#This Row],[Commission VAT]]-Table1[[#This Row],[FreeDeliveryFund]]</f>
        <v>83.898461400000016</v>
      </c>
      <c r="AY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M725" s="2"/>
    </row>
    <row r="726" spans="12:65" x14ac:dyDescent="0.25">
      <c r="L726" s="2">
        <v>504016</v>
      </c>
      <c r="M726" s="2" t="s">
        <v>52</v>
      </c>
      <c r="N726" s="2">
        <v>505839</v>
      </c>
      <c r="O726" t="s">
        <v>53</v>
      </c>
      <c r="P726">
        <v>3417774653</v>
      </c>
      <c r="Q726" s="5">
        <v>46046.803680555553</v>
      </c>
      <c r="R726" s="2" t="s">
        <v>54</v>
      </c>
      <c r="S726" s="2" t="s">
        <v>51</v>
      </c>
      <c r="T726" s="2" t="s">
        <v>55</v>
      </c>
      <c r="U726" s="2" t="s">
        <v>59</v>
      </c>
      <c r="V726" s="2" t="s">
        <v>57</v>
      </c>
      <c r="W726" s="2" t="s">
        <v>58</v>
      </c>
      <c r="X726" s="2" t="s">
        <v>59</v>
      </c>
      <c r="Y726" s="1">
        <v>413.98</v>
      </c>
      <c r="Z726" s="1">
        <v>413.98</v>
      </c>
      <c r="AA726" s="1">
        <v>0</v>
      </c>
      <c r="AB726" s="1">
        <v>20.7</v>
      </c>
      <c r="AC726" s="1">
        <v>0</v>
      </c>
      <c r="AD726" s="1">
        <v>53.381749999999997</v>
      </c>
      <c r="AE726" s="1">
        <v>434.68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7.24465</v>
      </c>
      <c r="AP726" s="1">
        <v>1.014251</v>
      </c>
      <c r="AQ726" s="1">
        <v>363.14035000000001</v>
      </c>
      <c r="AR726" s="1">
        <v>363.14035000000001</v>
      </c>
      <c r="AS726" s="1">
        <v>90.785089999999997</v>
      </c>
      <c r="AT726" s="1">
        <v>12.709912599999999</v>
      </c>
      <c r="AU726" s="1">
        <v>34.99</v>
      </c>
      <c r="AV726" s="2" t="s">
        <v>60</v>
      </c>
      <c r="AW726" s="1">
        <v>267.23599999999999</v>
      </c>
      <c r="AX726" s="1">
        <f>Table1[[#This Row],[Original Commissionable GMV]]-Table1[[#This Row],[Commission ]]-Table1[[#This Row],[Commission VAT]]-Table1[[#This Row],[FreeDeliveryFund]]</f>
        <v>224.65534740000004</v>
      </c>
      <c r="AY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M726" s="2"/>
    </row>
    <row r="727" spans="12:65" x14ac:dyDescent="0.25">
      <c r="L727" s="2">
        <v>504016</v>
      </c>
      <c r="M727" s="2" t="s">
        <v>52</v>
      </c>
      <c r="N727" s="2">
        <v>505835</v>
      </c>
      <c r="O727" t="s">
        <v>53</v>
      </c>
      <c r="P727">
        <v>3417825674</v>
      </c>
      <c r="Q727" s="5">
        <v>46046.818692129629</v>
      </c>
      <c r="R727" s="2" t="s">
        <v>62</v>
      </c>
      <c r="S727" s="2" t="s">
        <v>51</v>
      </c>
      <c r="T727" s="2" t="s">
        <v>55</v>
      </c>
      <c r="U727" s="2" t="s">
        <v>56</v>
      </c>
      <c r="V727" s="2" t="s">
        <v>57</v>
      </c>
      <c r="W727" s="2" t="s">
        <v>58</v>
      </c>
      <c r="X727" s="2" t="s">
        <v>59</v>
      </c>
      <c r="Y727" s="1">
        <v>4666.55</v>
      </c>
      <c r="Z727" s="1">
        <v>4666.55</v>
      </c>
      <c r="AA727" s="1">
        <v>43.99</v>
      </c>
      <c r="AB727" s="1">
        <v>29.99</v>
      </c>
      <c r="AC727" s="1">
        <v>0</v>
      </c>
      <c r="AD727" s="1">
        <v>582.17034999999998</v>
      </c>
      <c r="AE727" s="1">
        <v>4740.53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30</v>
      </c>
      <c r="AN727" s="1">
        <v>4.2</v>
      </c>
      <c r="AO727" s="1">
        <v>0</v>
      </c>
      <c r="AP727" s="1">
        <v>0</v>
      </c>
      <c r="AQ727" s="1">
        <v>4093.4649100000001</v>
      </c>
      <c r="AR727" s="1">
        <v>4093.4649100000001</v>
      </c>
      <c r="AS727" s="1">
        <v>1023.36623</v>
      </c>
      <c r="AT727" s="1">
        <v>143.2712722</v>
      </c>
      <c r="AU727" s="1">
        <v>0</v>
      </c>
      <c r="AV727" s="2" t="s">
        <v>69</v>
      </c>
      <c r="AW727" s="1">
        <v>3465.712</v>
      </c>
      <c r="AX727" s="1">
        <f>Table1[[#This Row],[Original Commissionable GMV]]-Table1[[#This Row],[Commission ]]-Table1[[#This Row],[Commission VAT]]-Table1[[#This Row],[FreeDeliveryFund]]</f>
        <v>2926.8274077999999</v>
      </c>
      <c r="AY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M727" s="2"/>
    </row>
    <row r="728" spans="12:65" x14ac:dyDescent="0.25">
      <c r="L728" s="2">
        <v>504016</v>
      </c>
      <c r="M728" s="2" t="s">
        <v>52</v>
      </c>
      <c r="N728" s="2">
        <v>505837</v>
      </c>
      <c r="O728" t="s">
        <v>65</v>
      </c>
      <c r="P728">
        <v>3417893632</v>
      </c>
      <c r="Q728" s="5">
        <v>46046.839432870373</v>
      </c>
      <c r="R728" s="2" t="s">
        <v>66</v>
      </c>
      <c r="S728" s="2" t="s">
        <v>51</v>
      </c>
      <c r="T728" s="2" t="s">
        <v>55</v>
      </c>
      <c r="U728" s="2" t="s">
        <v>59</v>
      </c>
      <c r="V728" s="2" t="s">
        <v>57</v>
      </c>
      <c r="W728" s="2" t="s">
        <v>58</v>
      </c>
      <c r="X728" s="2" t="s">
        <v>59</v>
      </c>
      <c r="Y728" s="1">
        <v>253.69</v>
      </c>
      <c r="Z728" s="1">
        <v>253.69</v>
      </c>
      <c r="AA728" s="1">
        <v>7</v>
      </c>
      <c r="AB728" s="1">
        <v>12.68</v>
      </c>
      <c r="AC728" s="1">
        <v>0</v>
      </c>
      <c r="AD728" s="1">
        <v>33.571750000000002</v>
      </c>
      <c r="AE728" s="1">
        <v>273.37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4.4395749999999996</v>
      </c>
      <c r="AP728" s="1">
        <v>0.62154050000000005</v>
      </c>
      <c r="AQ728" s="1">
        <v>222.53509</v>
      </c>
      <c r="AR728" s="1">
        <v>222.53509</v>
      </c>
      <c r="AS728" s="1">
        <v>55.633769999999998</v>
      </c>
      <c r="AT728" s="1">
        <v>7.7887278000000002</v>
      </c>
      <c r="AU728" s="1">
        <v>26.99</v>
      </c>
      <c r="AV728" s="2" t="s">
        <v>60</v>
      </c>
      <c r="AW728" s="1">
        <v>158.21600000000001</v>
      </c>
      <c r="AX728" s="1">
        <f>Table1[[#This Row],[Original Commissionable GMV]]-Table1[[#This Row],[Commission ]]-Table1[[#This Row],[Commission VAT]]-Table1[[#This Row],[FreeDeliveryFund]]</f>
        <v>132.12259219999999</v>
      </c>
      <c r="AY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M728" s="2"/>
    </row>
    <row r="729" spans="12:65" x14ac:dyDescent="0.25">
      <c r="L729" s="2">
        <v>504016</v>
      </c>
      <c r="M729" s="2" t="s">
        <v>52</v>
      </c>
      <c r="N729" s="2">
        <v>505839</v>
      </c>
      <c r="O729" t="s">
        <v>63</v>
      </c>
      <c r="P729">
        <v>3417910507</v>
      </c>
      <c r="Q729" s="5">
        <v>46046.844733796293</v>
      </c>
      <c r="R729" s="2" t="s">
        <v>54</v>
      </c>
      <c r="S729" s="2" t="s">
        <v>51</v>
      </c>
      <c r="T729" s="2" t="s">
        <v>55</v>
      </c>
      <c r="U729" s="2" t="s">
        <v>56</v>
      </c>
      <c r="V729" s="2" t="s">
        <v>57</v>
      </c>
      <c r="W729" s="2" t="s">
        <v>58</v>
      </c>
      <c r="X729" s="2" t="s">
        <v>59</v>
      </c>
      <c r="Y729" s="1">
        <v>352</v>
      </c>
      <c r="Z729" s="1">
        <v>352</v>
      </c>
      <c r="AA729" s="1">
        <v>0</v>
      </c>
      <c r="AB729" s="1">
        <v>17.600000000000001</v>
      </c>
      <c r="AC729" s="1">
        <v>0</v>
      </c>
      <c r="AD729" s="1">
        <v>45.389470000000003</v>
      </c>
      <c r="AE729" s="1">
        <v>369.6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6.16</v>
      </c>
      <c r="AP729" s="1">
        <v>0.86240000000000006</v>
      </c>
      <c r="AQ729" s="1">
        <v>308.77193</v>
      </c>
      <c r="AR729" s="1">
        <v>308.77193</v>
      </c>
      <c r="AS729" s="1">
        <v>77.192980000000006</v>
      </c>
      <c r="AT729" s="1">
        <v>10.807017200000001</v>
      </c>
      <c r="AU729" s="1">
        <v>27.99</v>
      </c>
      <c r="AV729" s="2" t="s">
        <v>60</v>
      </c>
      <c r="AW729" s="1">
        <v>228.988</v>
      </c>
      <c r="AX729" s="1">
        <f>Table1[[#This Row],[Original Commissionable GMV]]-Table1[[#This Row],[Commission ]]-Table1[[#This Row],[Commission VAT]]-Table1[[#This Row],[FreeDeliveryFund]]</f>
        <v>192.78193279999999</v>
      </c>
      <c r="AY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M729" s="2"/>
    </row>
    <row r="730" spans="12:65" x14ac:dyDescent="0.25">
      <c r="L730" s="2">
        <v>504016</v>
      </c>
      <c r="M730" s="2" t="s">
        <v>52</v>
      </c>
      <c r="N730" s="2">
        <v>505837</v>
      </c>
      <c r="O730" t="s">
        <v>53</v>
      </c>
      <c r="P730">
        <v>3417923091</v>
      </c>
      <c r="Q730" s="5">
        <v>46046.848668981482</v>
      </c>
      <c r="R730" s="2" t="s">
        <v>54</v>
      </c>
      <c r="S730" s="2" t="s">
        <v>51</v>
      </c>
      <c r="T730" s="2" t="s">
        <v>55</v>
      </c>
      <c r="U730" s="2" t="s">
        <v>56</v>
      </c>
      <c r="V730" s="2" t="s">
        <v>57</v>
      </c>
      <c r="W730" s="2" t="s">
        <v>58</v>
      </c>
      <c r="X730" s="2" t="s">
        <v>59</v>
      </c>
      <c r="Y730" s="1">
        <v>755.34</v>
      </c>
      <c r="Z730" s="1">
        <v>755.34</v>
      </c>
      <c r="AA730" s="1">
        <v>9</v>
      </c>
      <c r="AB730" s="1">
        <v>29.99</v>
      </c>
      <c r="AC730" s="1">
        <v>0</v>
      </c>
      <c r="AD730" s="1">
        <v>97.549300000000002</v>
      </c>
      <c r="AE730" s="1">
        <v>794.33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30</v>
      </c>
      <c r="AN730" s="1">
        <v>4.2</v>
      </c>
      <c r="AO730" s="1">
        <v>13.218450000000001</v>
      </c>
      <c r="AP730" s="1">
        <v>1.8505830000000001</v>
      </c>
      <c r="AQ730" s="1">
        <v>662.57894999999996</v>
      </c>
      <c r="AR730" s="1">
        <v>662.57894999999996</v>
      </c>
      <c r="AS730" s="1">
        <v>165.64474000000001</v>
      </c>
      <c r="AT730" s="1">
        <v>23.190263600000002</v>
      </c>
      <c r="AU730" s="1">
        <v>34.99</v>
      </c>
      <c r="AV730" s="2" t="s">
        <v>60</v>
      </c>
      <c r="AW730" s="1">
        <v>482.24599999999998</v>
      </c>
      <c r="AX730" s="1">
        <f>Table1[[#This Row],[Original Commissionable GMV]]-Table1[[#This Row],[Commission ]]-Table1[[#This Row],[Commission VAT]]-Table1[[#This Row],[FreeDeliveryFund]]</f>
        <v>438.75394639999996</v>
      </c>
      <c r="AY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M730" s="2"/>
    </row>
    <row r="731" spans="12:65" x14ac:dyDescent="0.25">
      <c r="L731" s="2">
        <v>504016</v>
      </c>
      <c r="M731" s="2" t="s">
        <v>52</v>
      </c>
      <c r="N731" s="2">
        <v>505839</v>
      </c>
      <c r="O731" t="s">
        <v>63</v>
      </c>
      <c r="P731">
        <v>3417927045</v>
      </c>
      <c r="Q731" s="5">
        <v>46046.849918981483</v>
      </c>
      <c r="R731" s="2" t="s">
        <v>54</v>
      </c>
      <c r="S731" s="2" t="s">
        <v>51</v>
      </c>
      <c r="T731" s="2" t="s">
        <v>55</v>
      </c>
      <c r="U731" s="2" t="s">
        <v>59</v>
      </c>
      <c r="V731" s="2" t="s">
        <v>57</v>
      </c>
      <c r="W731" s="2" t="s">
        <v>58</v>
      </c>
      <c r="X731" s="2" t="s">
        <v>59</v>
      </c>
      <c r="Y731" s="1">
        <v>1033.81</v>
      </c>
      <c r="Z731" s="1">
        <v>1033.81</v>
      </c>
      <c r="AA731" s="1">
        <v>26.99</v>
      </c>
      <c r="AB731" s="1">
        <v>29.99</v>
      </c>
      <c r="AC731" s="1">
        <v>0</v>
      </c>
      <c r="AD731" s="1">
        <v>133.95667</v>
      </c>
      <c r="AE731" s="1">
        <v>1090.79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18.091674999999999</v>
      </c>
      <c r="AP731" s="1">
        <v>2.5328344999999999</v>
      </c>
      <c r="AQ731" s="1">
        <v>906.85087999999996</v>
      </c>
      <c r="AR731" s="1">
        <v>906.85087999999996</v>
      </c>
      <c r="AS731" s="1">
        <v>226.71271999999999</v>
      </c>
      <c r="AT731" s="1">
        <v>31.739780799999998</v>
      </c>
      <c r="AU731" s="1">
        <v>0</v>
      </c>
      <c r="AV731" s="2" t="s">
        <v>69</v>
      </c>
      <c r="AW731" s="1">
        <v>754.73299999999995</v>
      </c>
      <c r="AX731" s="1">
        <f>Table1[[#This Row],[Original Commissionable GMV]]-Table1[[#This Row],[Commission ]]-Table1[[#This Row],[Commission VAT]]-Table1[[#This Row],[FreeDeliveryFund]]</f>
        <v>648.39837920000002</v>
      </c>
      <c r="AY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M731" s="2"/>
    </row>
    <row r="732" spans="12:65" x14ac:dyDescent="0.25">
      <c r="L732" s="2">
        <v>504016</v>
      </c>
      <c r="M732" s="2" t="s">
        <v>52</v>
      </c>
      <c r="N732" s="2">
        <v>505839</v>
      </c>
      <c r="O732" t="s">
        <v>53</v>
      </c>
      <c r="P732">
        <v>3418015623</v>
      </c>
      <c r="Q732" s="5">
        <v>46046.879942129628</v>
      </c>
      <c r="R732" s="2" t="s">
        <v>62</v>
      </c>
      <c r="S732" s="2" t="s">
        <v>51</v>
      </c>
      <c r="T732" s="2" t="s">
        <v>55</v>
      </c>
      <c r="U732" s="2" t="s">
        <v>59</v>
      </c>
      <c r="V732" s="2" t="s">
        <v>57</v>
      </c>
      <c r="W732" s="2" t="s">
        <v>58</v>
      </c>
      <c r="X732" s="2" t="s">
        <v>59</v>
      </c>
      <c r="Y732" s="1">
        <v>249.99</v>
      </c>
      <c r="Z732" s="1">
        <v>249.99</v>
      </c>
      <c r="AA732" s="1">
        <v>32.99</v>
      </c>
      <c r="AB732" s="1">
        <v>12.5</v>
      </c>
      <c r="AC732" s="1">
        <v>0</v>
      </c>
      <c r="AD732" s="1">
        <v>36.287019999999998</v>
      </c>
      <c r="AE732" s="1">
        <v>295.48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219.28946999999999</v>
      </c>
      <c r="AR732" s="1">
        <v>219.28946999999999</v>
      </c>
      <c r="AS732" s="1">
        <v>54.822369999999999</v>
      </c>
      <c r="AT732" s="1">
        <v>7.6751317999999999</v>
      </c>
      <c r="AU732" s="1">
        <v>0</v>
      </c>
      <c r="AV732" s="2" t="s">
        <v>69</v>
      </c>
      <c r="AW732" s="1">
        <v>187.49199999999999</v>
      </c>
      <c r="AX732" s="1">
        <f>Table1[[#This Row],[Original Commissionable GMV]]-Table1[[#This Row],[Commission ]]-Table1[[#This Row],[Commission VAT]]-Table1[[#This Row],[FreeDeliveryFund]]</f>
        <v>156.79196819999999</v>
      </c>
      <c r="AY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M732" s="2"/>
    </row>
    <row r="733" spans="12:65" x14ac:dyDescent="0.25">
      <c r="L733" s="2">
        <v>504016</v>
      </c>
      <c r="M733" s="2" t="s">
        <v>52</v>
      </c>
      <c r="N733" s="2">
        <v>505839</v>
      </c>
      <c r="O733" t="s">
        <v>53</v>
      </c>
      <c r="P733">
        <v>3418106068</v>
      </c>
      <c r="Q733" s="5">
        <v>46046.914918981478</v>
      </c>
      <c r="R733" s="2" t="s">
        <v>66</v>
      </c>
      <c r="S733" s="2" t="s">
        <v>51</v>
      </c>
      <c r="T733" s="2" t="s">
        <v>55</v>
      </c>
      <c r="U733" s="2" t="s">
        <v>59</v>
      </c>
      <c r="V733" s="2" t="s">
        <v>57</v>
      </c>
      <c r="W733" s="2" t="s">
        <v>58</v>
      </c>
      <c r="X733" s="2" t="s">
        <v>59</v>
      </c>
      <c r="Y733" s="1">
        <v>795.35</v>
      </c>
      <c r="Z733" s="1">
        <v>795.35</v>
      </c>
      <c r="AA733" s="1">
        <v>9</v>
      </c>
      <c r="AB733" s="1">
        <v>29.99</v>
      </c>
      <c r="AC733" s="1">
        <v>0</v>
      </c>
      <c r="AD733" s="1">
        <v>102.46281</v>
      </c>
      <c r="AE733" s="1">
        <v>834.34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13.918625</v>
      </c>
      <c r="AP733" s="1">
        <v>1.9486075</v>
      </c>
      <c r="AQ733" s="1">
        <v>697.67543999999998</v>
      </c>
      <c r="AR733" s="1">
        <v>697.67543999999998</v>
      </c>
      <c r="AS733" s="1">
        <v>174.41886</v>
      </c>
      <c r="AT733" s="1">
        <v>24.418640400000001</v>
      </c>
      <c r="AU733" s="1">
        <v>33.99</v>
      </c>
      <c r="AV733" s="2" t="s">
        <v>60</v>
      </c>
      <c r="AW733" s="1">
        <v>546.65499999999997</v>
      </c>
      <c r="AX733" s="1">
        <f>Table1[[#This Row],[Original Commissionable GMV]]-Table1[[#This Row],[Commission ]]-Table1[[#This Row],[Commission VAT]]-Table1[[#This Row],[FreeDeliveryFund]]</f>
        <v>464.84793959999996</v>
      </c>
      <c r="AY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M733" s="2"/>
    </row>
    <row r="734" spans="12:65" x14ac:dyDescent="0.25">
      <c r="L734" s="2">
        <v>504016</v>
      </c>
      <c r="M734" s="2" t="s">
        <v>52</v>
      </c>
      <c r="N734" s="2">
        <v>505837</v>
      </c>
      <c r="O734" t="s">
        <v>53</v>
      </c>
      <c r="P734">
        <v>3418142055</v>
      </c>
      <c r="Q734" s="5">
        <v>46046.930648148147</v>
      </c>
      <c r="R734" s="2" t="s">
        <v>66</v>
      </c>
      <c r="S734" s="2" t="s">
        <v>51</v>
      </c>
      <c r="T734" s="2" t="s">
        <v>55</v>
      </c>
      <c r="U734" s="2" t="s">
        <v>59</v>
      </c>
      <c r="V734" s="2" t="s">
        <v>57</v>
      </c>
      <c r="W734" s="2" t="s">
        <v>58</v>
      </c>
      <c r="X734" s="2" t="s">
        <v>59</v>
      </c>
      <c r="Y734" s="1">
        <v>250</v>
      </c>
      <c r="Z734" s="1">
        <v>250</v>
      </c>
      <c r="AA734" s="1">
        <v>0</v>
      </c>
      <c r="AB734" s="1">
        <v>12.5</v>
      </c>
      <c r="AC734" s="1">
        <v>0</v>
      </c>
      <c r="AD734" s="1">
        <v>32.236840000000001</v>
      </c>
      <c r="AE734" s="1">
        <v>262.5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4.375</v>
      </c>
      <c r="AP734" s="1">
        <v>0.61250000000000004</v>
      </c>
      <c r="AQ734" s="1">
        <v>219.29825</v>
      </c>
      <c r="AR734" s="1">
        <v>219.29825</v>
      </c>
      <c r="AS734" s="1">
        <v>54.824559999999998</v>
      </c>
      <c r="AT734" s="1">
        <v>7.6754384</v>
      </c>
      <c r="AU734" s="1">
        <v>34.99</v>
      </c>
      <c r="AV734" s="2" t="s">
        <v>60</v>
      </c>
      <c r="AW734" s="1">
        <v>147.523</v>
      </c>
      <c r="AX734" s="1">
        <f>Table1[[#This Row],[Original Commissionable GMV]]-Table1[[#This Row],[Commission ]]-Table1[[#This Row],[Commission VAT]]-Table1[[#This Row],[FreeDeliveryFund]]</f>
        <v>121.80825160000001</v>
      </c>
      <c r="AY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M734" s="2"/>
    </row>
    <row r="735" spans="12:65" x14ac:dyDescent="0.25">
      <c r="L735" s="2">
        <v>504016</v>
      </c>
      <c r="M735" s="2" t="s">
        <v>52</v>
      </c>
      <c r="N735" s="2">
        <v>505837</v>
      </c>
      <c r="O735" t="s">
        <v>53</v>
      </c>
      <c r="P735">
        <v>3418176674</v>
      </c>
      <c r="Q735" s="5">
        <v>46046.947442129633</v>
      </c>
      <c r="R735" s="2" t="s">
        <v>54</v>
      </c>
      <c r="S735" s="2" t="s">
        <v>51</v>
      </c>
      <c r="T735" s="2" t="s">
        <v>55</v>
      </c>
      <c r="U735" s="2" t="s">
        <v>59</v>
      </c>
      <c r="V735" s="2" t="s">
        <v>57</v>
      </c>
      <c r="W735" s="2" t="s">
        <v>58</v>
      </c>
      <c r="X735" s="2" t="s">
        <v>59</v>
      </c>
      <c r="Y735" s="1">
        <v>565.66</v>
      </c>
      <c r="Z735" s="1">
        <v>565.66</v>
      </c>
      <c r="AA735" s="1">
        <v>9</v>
      </c>
      <c r="AB735" s="1">
        <v>28.28</v>
      </c>
      <c r="AC735" s="1">
        <v>0</v>
      </c>
      <c r="AD735" s="1">
        <v>74.045259999999999</v>
      </c>
      <c r="AE735" s="1">
        <v>602.94000000000005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9.8990500000000008</v>
      </c>
      <c r="AP735" s="1">
        <v>1.385867</v>
      </c>
      <c r="AQ735" s="1">
        <v>496.19297999999998</v>
      </c>
      <c r="AR735" s="1">
        <v>496.19297999999998</v>
      </c>
      <c r="AS735" s="1">
        <v>124.04825</v>
      </c>
      <c r="AT735" s="1">
        <v>17.366755000000001</v>
      </c>
      <c r="AU735" s="1">
        <v>34.99</v>
      </c>
      <c r="AV735" s="2" t="s">
        <v>60</v>
      </c>
      <c r="AW735" s="1">
        <v>377.97</v>
      </c>
      <c r="AX735" s="1">
        <f>Table1[[#This Row],[Original Commissionable GMV]]-Table1[[#This Row],[Commission ]]-Table1[[#This Row],[Commission VAT]]-Table1[[#This Row],[FreeDeliveryFund]]</f>
        <v>319.78797499999996</v>
      </c>
      <c r="AY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M735" s="2"/>
    </row>
    <row r="736" spans="12:65" x14ac:dyDescent="0.25">
      <c r="L736" s="2">
        <v>504016</v>
      </c>
      <c r="M736" s="2" t="s">
        <v>52</v>
      </c>
      <c r="N736" s="2">
        <v>505839</v>
      </c>
      <c r="O736" t="s">
        <v>53</v>
      </c>
      <c r="P736">
        <v>3418193587</v>
      </c>
      <c r="Q736" s="5">
        <v>46046.956354166665</v>
      </c>
      <c r="R736" s="2" t="s">
        <v>54</v>
      </c>
      <c r="S736" s="2" t="s">
        <v>51</v>
      </c>
      <c r="T736" s="2" t="s">
        <v>55</v>
      </c>
      <c r="U736" s="2" t="s">
        <v>56</v>
      </c>
      <c r="V736" s="2" t="s">
        <v>57</v>
      </c>
      <c r="W736" s="2" t="s">
        <v>58</v>
      </c>
      <c r="X736" s="2" t="s">
        <v>59</v>
      </c>
      <c r="Y736" s="1">
        <v>224.99</v>
      </c>
      <c r="Z736" s="1">
        <v>224.99</v>
      </c>
      <c r="AA736" s="1">
        <v>0</v>
      </c>
      <c r="AB736" s="1">
        <v>11.25</v>
      </c>
      <c r="AC736" s="1">
        <v>0</v>
      </c>
      <c r="AD736" s="1">
        <v>29.01193</v>
      </c>
      <c r="AE736" s="1">
        <v>236.24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45</v>
      </c>
      <c r="AM736" s="1">
        <v>0</v>
      </c>
      <c r="AN736" s="1">
        <v>0</v>
      </c>
      <c r="AO736" s="1">
        <v>3.937325</v>
      </c>
      <c r="AP736" s="1">
        <v>0.55122550000000003</v>
      </c>
      <c r="AQ736" s="1">
        <v>197.35964999999999</v>
      </c>
      <c r="AR736" s="1">
        <v>197.35964999999999</v>
      </c>
      <c r="AS736" s="1">
        <v>49.339910000000003</v>
      </c>
      <c r="AT736" s="1">
        <v>6.9075873999999997</v>
      </c>
      <c r="AU736" s="1">
        <v>31.99</v>
      </c>
      <c r="AV736" s="2" t="s">
        <v>60</v>
      </c>
      <c r="AW736" s="1">
        <v>132.26400000000001</v>
      </c>
      <c r="AX736" s="1">
        <f>Table1[[#This Row],[Original Commissionable GMV]]-Table1[[#This Row],[Commission ]]-Table1[[#This Row],[Commission VAT]]-Table1[[#This Row],[FreeDeliveryFund]]</f>
        <v>109.12215259999998</v>
      </c>
      <c r="AY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M736" s="2"/>
    </row>
    <row r="737" spans="12:65" x14ac:dyDescent="0.25">
      <c r="L737" s="2">
        <v>504016</v>
      </c>
      <c r="M737" s="2" t="s">
        <v>52</v>
      </c>
      <c r="N737" s="2">
        <v>505839</v>
      </c>
      <c r="O737" t="s">
        <v>63</v>
      </c>
      <c r="P737">
        <v>3418863899</v>
      </c>
      <c r="Q737" s="5">
        <v>46047.55</v>
      </c>
      <c r="R737" s="2" t="s">
        <v>54</v>
      </c>
      <c r="S737" s="2" t="s">
        <v>51</v>
      </c>
      <c r="T737" s="2" t="s">
        <v>55</v>
      </c>
      <c r="U737" s="2" t="s">
        <v>59</v>
      </c>
      <c r="V737" s="2" t="s">
        <v>57</v>
      </c>
      <c r="W737" s="2" t="s">
        <v>58</v>
      </c>
      <c r="X737" s="2" t="s">
        <v>59</v>
      </c>
      <c r="Y737" s="1">
        <v>1417.75</v>
      </c>
      <c r="Z737" s="1">
        <v>1417.75</v>
      </c>
      <c r="AA737" s="1">
        <v>29.99</v>
      </c>
      <c r="AB737" s="1">
        <v>29.99</v>
      </c>
      <c r="AC737" s="1">
        <v>0</v>
      </c>
      <c r="AD737" s="1">
        <v>181.47560999999999</v>
      </c>
      <c r="AE737" s="1">
        <v>1477.73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24.810625000000002</v>
      </c>
      <c r="AP737" s="1">
        <v>3.4734875000000001</v>
      </c>
      <c r="AQ737" s="1">
        <v>1243.6403499999999</v>
      </c>
      <c r="AR737" s="1">
        <v>1243.6403499999999</v>
      </c>
      <c r="AS737" s="1">
        <v>310.91009000000003</v>
      </c>
      <c r="AT737" s="1">
        <v>43.527412599999998</v>
      </c>
      <c r="AU737" s="1">
        <v>0</v>
      </c>
      <c r="AV737" s="2" t="s">
        <v>69</v>
      </c>
      <c r="AW737" s="1">
        <v>1035.028</v>
      </c>
      <c r="AX737" s="1">
        <f>Table1[[#This Row],[Original Commissionable GMV]]-Table1[[#This Row],[Commission ]]-Table1[[#This Row],[Commission VAT]]-Table1[[#This Row],[FreeDeliveryFund]]</f>
        <v>889.20284739999977</v>
      </c>
      <c r="AY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M737" s="2"/>
    </row>
    <row r="738" spans="12:65" x14ac:dyDescent="0.25">
      <c r="L738" s="2">
        <v>504016</v>
      </c>
      <c r="M738" s="2" t="s">
        <v>52</v>
      </c>
      <c r="N738" s="2">
        <v>505837</v>
      </c>
      <c r="O738" t="s">
        <v>63</v>
      </c>
      <c r="P738">
        <v>3418969879</v>
      </c>
      <c r="Q738" s="5">
        <v>46047.593831018516</v>
      </c>
      <c r="R738" s="2" t="s">
        <v>54</v>
      </c>
      <c r="S738" s="2" t="s">
        <v>51</v>
      </c>
      <c r="T738" s="2" t="s">
        <v>55</v>
      </c>
      <c r="U738" s="2" t="s">
        <v>59</v>
      </c>
      <c r="V738" s="2" t="s">
        <v>57</v>
      </c>
      <c r="W738" s="2" t="s">
        <v>58</v>
      </c>
      <c r="X738" s="2" t="s">
        <v>59</v>
      </c>
      <c r="Y738" s="1">
        <v>769.99</v>
      </c>
      <c r="Z738" s="1">
        <v>769.99</v>
      </c>
      <c r="AA738" s="1">
        <v>0</v>
      </c>
      <c r="AB738" s="1">
        <v>29.99</v>
      </c>
      <c r="AC738" s="1">
        <v>0</v>
      </c>
      <c r="AD738" s="1">
        <v>98.243160000000003</v>
      </c>
      <c r="AE738" s="1">
        <v>799.98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13.474824999999999</v>
      </c>
      <c r="AP738" s="1">
        <v>1.8864755</v>
      </c>
      <c r="AQ738" s="1">
        <v>675.42981999999995</v>
      </c>
      <c r="AR738" s="1">
        <v>675.42981999999995</v>
      </c>
      <c r="AS738" s="1">
        <v>168.85746</v>
      </c>
      <c r="AT738" s="1">
        <v>23.640044400000001</v>
      </c>
      <c r="AU738" s="1">
        <v>26.99</v>
      </c>
      <c r="AV738" s="2" t="s">
        <v>60</v>
      </c>
      <c r="AW738" s="1">
        <v>535.14099999999996</v>
      </c>
      <c r="AX738" s="1">
        <f>Table1[[#This Row],[Original Commissionable GMV]]-Table1[[#This Row],[Commission ]]-Table1[[#This Row],[Commission VAT]]-Table1[[#This Row],[FreeDeliveryFund]]</f>
        <v>455.94231559999992</v>
      </c>
      <c r="AY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M738" s="2"/>
    </row>
    <row r="739" spans="12:65" x14ac:dyDescent="0.25">
      <c r="L739" s="2">
        <v>504016</v>
      </c>
      <c r="M739" s="2" t="s">
        <v>52</v>
      </c>
      <c r="N739" s="2">
        <v>505837</v>
      </c>
      <c r="O739" t="s">
        <v>65</v>
      </c>
      <c r="P739">
        <v>3419009928</v>
      </c>
      <c r="Q739" s="5">
        <v>46047.610254629632</v>
      </c>
      <c r="R739" s="2" t="s">
        <v>54</v>
      </c>
      <c r="S739" s="2" t="s">
        <v>51</v>
      </c>
      <c r="T739" s="2" t="s">
        <v>55</v>
      </c>
      <c r="U739" s="2" t="s">
        <v>59</v>
      </c>
      <c r="V739" s="2" t="s">
        <v>57</v>
      </c>
      <c r="W739" s="2" t="s">
        <v>58</v>
      </c>
      <c r="X739" s="2" t="s">
        <v>59</v>
      </c>
      <c r="Y739" s="1">
        <v>1189.3</v>
      </c>
      <c r="Z739" s="1">
        <v>1189.3</v>
      </c>
      <c r="AA739" s="1">
        <v>28.99</v>
      </c>
      <c r="AB739" s="1">
        <v>29.99</v>
      </c>
      <c r="AC739" s="1">
        <v>0</v>
      </c>
      <c r="AD739" s="1">
        <v>153.29754</v>
      </c>
      <c r="AE739" s="1">
        <v>1248.28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20.812750000000001</v>
      </c>
      <c r="AP739" s="1">
        <v>2.9137849999999998</v>
      </c>
      <c r="AQ739" s="1">
        <v>1043.2456099999999</v>
      </c>
      <c r="AR739" s="1">
        <v>1043.2456099999999</v>
      </c>
      <c r="AS739" s="1">
        <v>260.81139999999999</v>
      </c>
      <c r="AT739" s="1">
        <v>36.513596</v>
      </c>
      <c r="AU739" s="1">
        <v>0</v>
      </c>
      <c r="AV739" s="2" t="s">
        <v>69</v>
      </c>
      <c r="AW739" s="1">
        <v>868.24800000000005</v>
      </c>
      <c r="AX739" s="1">
        <f>Table1[[#This Row],[Original Commissionable GMV]]-Table1[[#This Row],[Commission ]]-Table1[[#This Row],[Commission VAT]]-Table1[[#This Row],[FreeDeliveryFund]]</f>
        <v>745.92061399999989</v>
      </c>
      <c r="AY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M739" s="2"/>
    </row>
    <row r="740" spans="12:65" x14ac:dyDescent="0.25">
      <c r="L740" s="2">
        <v>504016</v>
      </c>
      <c r="M740" s="2" t="s">
        <v>52</v>
      </c>
      <c r="N740" s="2">
        <v>505837</v>
      </c>
      <c r="O740" t="s">
        <v>63</v>
      </c>
      <c r="P740">
        <v>3419053920</v>
      </c>
      <c r="Q740" s="5">
        <v>46047.627847222226</v>
      </c>
      <c r="R740" s="2" t="s">
        <v>54</v>
      </c>
      <c r="S740" s="2" t="s">
        <v>51</v>
      </c>
      <c r="T740" s="2" t="s">
        <v>55</v>
      </c>
      <c r="U740" s="2" t="s">
        <v>56</v>
      </c>
      <c r="V740" s="2" t="s">
        <v>57</v>
      </c>
      <c r="W740" s="2" t="s">
        <v>58</v>
      </c>
      <c r="X740" s="2" t="s">
        <v>59</v>
      </c>
      <c r="Y740" s="1">
        <v>1186.97</v>
      </c>
      <c r="Z740" s="1">
        <v>1186.97</v>
      </c>
      <c r="AA740" s="1">
        <v>35.99</v>
      </c>
      <c r="AB740" s="1">
        <v>29.99</v>
      </c>
      <c r="AC740" s="1">
        <v>0</v>
      </c>
      <c r="AD740" s="1">
        <v>153.87105</v>
      </c>
      <c r="AE740" s="1">
        <v>1252.95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20.771975000000001</v>
      </c>
      <c r="AP740" s="1">
        <v>2.9080765</v>
      </c>
      <c r="AQ740" s="1">
        <v>1041.2017499999999</v>
      </c>
      <c r="AR740" s="1">
        <v>1041.2017499999999</v>
      </c>
      <c r="AS740" s="1">
        <v>260.30043999999998</v>
      </c>
      <c r="AT740" s="1">
        <v>36.442061600000002</v>
      </c>
      <c r="AU740" s="1">
        <v>0</v>
      </c>
      <c r="AV740" s="2" t="s">
        <v>69</v>
      </c>
      <c r="AW740" s="1">
        <v>866.54700000000003</v>
      </c>
      <c r="AX740" s="1">
        <f>Table1[[#This Row],[Original Commissionable GMV]]-Table1[[#This Row],[Commission ]]-Table1[[#This Row],[Commission VAT]]-Table1[[#This Row],[FreeDeliveryFund]]</f>
        <v>744.45924839999998</v>
      </c>
      <c r="AY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M740" s="2"/>
    </row>
    <row r="741" spans="12:65" x14ac:dyDescent="0.25">
      <c r="L741" s="2">
        <v>504016</v>
      </c>
      <c r="M741" s="2" t="s">
        <v>52</v>
      </c>
      <c r="N741" s="2">
        <v>505837</v>
      </c>
      <c r="O741" t="s">
        <v>65</v>
      </c>
      <c r="P741">
        <v>3419110078</v>
      </c>
      <c r="Q741" s="5">
        <v>46047.648946759262</v>
      </c>
      <c r="R741" s="2" t="s">
        <v>54</v>
      </c>
      <c r="S741" s="2" t="s">
        <v>51</v>
      </c>
      <c r="T741" s="2" t="s">
        <v>55</v>
      </c>
      <c r="U741" s="2" t="s">
        <v>56</v>
      </c>
      <c r="V741" s="2" t="s">
        <v>57</v>
      </c>
      <c r="W741" s="2" t="s">
        <v>58</v>
      </c>
      <c r="X741" s="2" t="s">
        <v>59</v>
      </c>
      <c r="Y741" s="1">
        <v>668</v>
      </c>
      <c r="Z741" s="1">
        <v>668</v>
      </c>
      <c r="AA741" s="1">
        <v>0</v>
      </c>
      <c r="AB741" s="1">
        <v>29.99</v>
      </c>
      <c r="AC741" s="1">
        <v>0</v>
      </c>
      <c r="AD741" s="1">
        <v>85.718069999999997</v>
      </c>
      <c r="AE741" s="1">
        <v>697.99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30</v>
      </c>
      <c r="AN741" s="1">
        <v>4.2</v>
      </c>
      <c r="AO741" s="1">
        <v>11.69</v>
      </c>
      <c r="AP741" s="1">
        <v>1.6366000000000001</v>
      </c>
      <c r="AQ741" s="1">
        <v>585.96491000000003</v>
      </c>
      <c r="AR741" s="1">
        <v>585.96491000000003</v>
      </c>
      <c r="AS741" s="1">
        <v>146.49123</v>
      </c>
      <c r="AT741" s="1">
        <v>20.508772199999999</v>
      </c>
      <c r="AU741" s="1">
        <v>28.99</v>
      </c>
      <c r="AV741" s="2" t="s">
        <v>60</v>
      </c>
      <c r="AW741" s="1">
        <v>424.483</v>
      </c>
      <c r="AX741" s="1">
        <f>Table1[[#This Row],[Original Commissionable GMV]]-Table1[[#This Row],[Commission ]]-Table1[[#This Row],[Commission VAT]]-Table1[[#This Row],[FreeDeliveryFund]]</f>
        <v>389.97490780000004</v>
      </c>
      <c r="AY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M741" s="2"/>
    </row>
    <row r="742" spans="12:65" x14ac:dyDescent="0.25">
      <c r="L742" s="2">
        <v>504016</v>
      </c>
      <c r="M742" s="2" t="s">
        <v>52</v>
      </c>
      <c r="N742" s="2">
        <v>505839</v>
      </c>
      <c r="O742" t="s">
        <v>63</v>
      </c>
      <c r="P742">
        <v>3419155647</v>
      </c>
      <c r="Q742" s="5">
        <v>46047.665798611109</v>
      </c>
      <c r="R742" s="2" t="s">
        <v>54</v>
      </c>
      <c r="S742" s="2" t="s">
        <v>51</v>
      </c>
      <c r="T742" s="2" t="s">
        <v>55</v>
      </c>
      <c r="U742" s="2" t="s">
        <v>59</v>
      </c>
      <c r="V742" s="2" t="s">
        <v>57</v>
      </c>
      <c r="W742" s="2" t="s">
        <v>58</v>
      </c>
      <c r="X742" s="2" t="s">
        <v>59</v>
      </c>
      <c r="Y742" s="1">
        <v>499.98</v>
      </c>
      <c r="Z742" s="1">
        <v>499.98</v>
      </c>
      <c r="AA742" s="1">
        <v>0</v>
      </c>
      <c r="AB742" s="1">
        <v>25</v>
      </c>
      <c r="AC742" s="1">
        <v>0</v>
      </c>
      <c r="AD742" s="1">
        <v>64.471230000000006</v>
      </c>
      <c r="AE742" s="1">
        <v>524.98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8.7496500000000008</v>
      </c>
      <c r="AP742" s="1">
        <v>1.2249509999999999</v>
      </c>
      <c r="AQ742" s="1">
        <v>438.57895000000002</v>
      </c>
      <c r="AR742" s="1">
        <v>438.57895000000002</v>
      </c>
      <c r="AS742" s="1">
        <v>109.64474</v>
      </c>
      <c r="AT742" s="1">
        <v>15.3502636</v>
      </c>
      <c r="AU742" s="1">
        <v>26.99</v>
      </c>
      <c r="AV742" s="2" t="s">
        <v>60</v>
      </c>
      <c r="AW742" s="1">
        <v>338.02</v>
      </c>
      <c r="AX742" s="1">
        <f>Table1[[#This Row],[Original Commissionable GMV]]-Table1[[#This Row],[Commission ]]-Table1[[#This Row],[Commission VAT]]-Table1[[#This Row],[FreeDeliveryFund]]</f>
        <v>286.59394639999999</v>
      </c>
      <c r="AY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M742" s="2"/>
    </row>
    <row r="743" spans="12:65" x14ac:dyDescent="0.25">
      <c r="L743" s="2">
        <v>504016</v>
      </c>
      <c r="M743" s="2" t="s">
        <v>52</v>
      </c>
      <c r="N743" s="2">
        <v>505839</v>
      </c>
      <c r="O743" t="s">
        <v>53</v>
      </c>
      <c r="P743">
        <v>3419165755</v>
      </c>
      <c r="Q743" s="5">
        <v>46047.669444444444</v>
      </c>
      <c r="R743" s="2" t="s">
        <v>54</v>
      </c>
      <c r="S743" s="2" t="s">
        <v>51</v>
      </c>
      <c r="T743" s="2" t="s">
        <v>55</v>
      </c>
      <c r="U743" s="2" t="s">
        <v>56</v>
      </c>
      <c r="V743" s="2" t="s">
        <v>57</v>
      </c>
      <c r="W743" s="2" t="s">
        <v>58</v>
      </c>
      <c r="X743" s="2" t="s">
        <v>59</v>
      </c>
      <c r="Y743" s="1">
        <v>967.32</v>
      </c>
      <c r="Z743" s="1">
        <v>967.32</v>
      </c>
      <c r="AA743" s="1">
        <v>0</v>
      </c>
      <c r="AB743" s="1">
        <v>29.99</v>
      </c>
      <c r="AC743" s="1">
        <v>0</v>
      </c>
      <c r="AD743" s="1">
        <v>122.47667</v>
      </c>
      <c r="AE743" s="1">
        <v>997.31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16.928100000000001</v>
      </c>
      <c r="AP743" s="1">
        <v>2.3699340000000002</v>
      </c>
      <c r="AQ743" s="1">
        <v>848.52632000000006</v>
      </c>
      <c r="AR743" s="1">
        <v>848.52632000000006</v>
      </c>
      <c r="AS743" s="1">
        <v>212.13158000000001</v>
      </c>
      <c r="AT743" s="1">
        <v>29.698421199999999</v>
      </c>
      <c r="AU743" s="1">
        <v>32.99</v>
      </c>
      <c r="AV743" s="2" t="s">
        <v>60</v>
      </c>
      <c r="AW743" s="1">
        <v>673.202</v>
      </c>
      <c r="AX743" s="1">
        <f>Table1[[#This Row],[Original Commissionable GMV]]-Table1[[#This Row],[Commission ]]-Table1[[#This Row],[Commission VAT]]-Table1[[#This Row],[FreeDeliveryFund]]</f>
        <v>573.70631880000008</v>
      </c>
      <c r="AY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M743" s="2"/>
    </row>
    <row r="744" spans="12:65" x14ac:dyDescent="0.25">
      <c r="L744" s="2">
        <v>504016</v>
      </c>
      <c r="M744" s="2" t="s">
        <v>52</v>
      </c>
      <c r="N744" s="2">
        <v>505839</v>
      </c>
      <c r="O744" t="s">
        <v>53</v>
      </c>
      <c r="P744">
        <v>3419246164</v>
      </c>
      <c r="Q744" s="5">
        <v>46047.696979166663</v>
      </c>
      <c r="R744" s="2" t="s">
        <v>54</v>
      </c>
      <c r="S744" s="2" t="s">
        <v>51</v>
      </c>
      <c r="T744" s="2" t="s">
        <v>55</v>
      </c>
      <c r="U744" s="2" t="s">
        <v>59</v>
      </c>
      <c r="V744" s="2" t="s">
        <v>57</v>
      </c>
      <c r="W744" s="2" t="s">
        <v>58</v>
      </c>
      <c r="X744" s="2" t="s">
        <v>59</v>
      </c>
      <c r="Y744" s="1">
        <v>392.99</v>
      </c>
      <c r="Z744" s="1">
        <v>392.99</v>
      </c>
      <c r="AA744" s="1">
        <v>0</v>
      </c>
      <c r="AB744" s="1">
        <v>23.18</v>
      </c>
      <c r="AC744" s="1">
        <v>0</v>
      </c>
      <c r="AD744" s="1">
        <v>51.108600000000003</v>
      </c>
      <c r="AE744" s="1">
        <v>416.17</v>
      </c>
      <c r="AF744" s="1">
        <v>486.84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6.8773249999999999</v>
      </c>
      <c r="AP744" s="1">
        <v>0.9628255</v>
      </c>
      <c r="AQ744" s="1">
        <v>406.71929999999998</v>
      </c>
      <c r="AR744" s="1">
        <v>406.71929999999998</v>
      </c>
      <c r="AS744" s="1">
        <v>101.67983</v>
      </c>
      <c r="AT744" s="1">
        <v>14.2351762</v>
      </c>
      <c r="AU744" s="1">
        <v>31.99</v>
      </c>
      <c r="AV744" s="2" t="s">
        <v>60</v>
      </c>
      <c r="AW744" s="1">
        <v>237.245</v>
      </c>
      <c r="AX744" s="1">
        <f>Table1[[#This Row],[Original Commissionable GMV]]-Table1[[#This Row],[Commission ]]-Table1[[#This Row],[Commission VAT]]-Table1[[#This Row],[FreeDeliveryFund]]</f>
        <v>258.81429379999997</v>
      </c>
      <c r="AY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M744" s="2"/>
    </row>
    <row r="745" spans="12:65" x14ac:dyDescent="0.25">
      <c r="L745" s="2">
        <v>504016</v>
      </c>
      <c r="M745" s="2" t="s">
        <v>52</v>
      </c>
      <c r="N745" s="2">
        <v>505837</v>
      </c>
      <c r="O745" t="s">
        <v>53</v>
      </c>
      <c r="P745">
        <v>3419275889</v>
      </c>
      <c r="Q745" s="5">
        <v>46047.706643518519</v>
      </c>
      <c r="R745" s="2" t="s">
        <v>54</v>
      </c>
      <c r="S745" s="2" t="s">
        <v>51</v>
      </c>
      <c r="T745" s="2" t="s">
        <v>55</v>
      </c>
      <c r="U745" s="2" t="s">
        <v>59</v>
      </c>
      <c r="V745" s="2" t="s">
        <v>57</v>
      </c>
      <c r="W745" s="2" t="s">
        <v>58</v>
      </c>
      <c r="X745" s="2" t="s">
        <v>59</v>
      </c>
      <c r="Y745" s="1">
        <v>457.64</v>
      </c>
      <c r="Z745" s="1">
        <v>457.64</v>
      </c>
      <c r="AA745" s="1">
        <v>0</v>
      </c>
      <c r="AB745" s="1">
        <v>22.88</v>
      </c>
      <c r="AC745" s="1">
        <v>0</v>
      </c>
      <c r="AD745" s="1">
        <v>59.011229999999998</v>
      </c>
      <c r="AE745" s="1">
        <v>480.52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8.0086999999999993</v>
      </c>
      <c r="AP745" s="1">
        <v>1.121218</v>
      </c>
      <c r="AQ745" s="1">
        <v>401.43860000000001</v>
      </c>
      <c r="AR745" s="1">
        <v>401.43860000000001</v>
      </c>
      <c r="AS745" s="1">
        <v>100.35965</v>
      </c>
      <c r="AT745" s="1">
        <v>14.050350999999999</v>
      </c>
      <c r="AU745" s="1">
        <v>34.99</v>
      </c>
      <c r="AV745" s="2" t="s">
        <v>60</v>
      </c>
      <c r="AW745" s="1">
        <v>299.11</v>
      </c>
      <c r="AX745" s="1">
        <f>Table1[[#This Row],[Original Commissionable GMV]]-Table1[[#This Row],[Commission ]]-Table1[[#This Row],[Commission VAT]]-Table1[[#This Row],[FreeDeliveryFund]]</f>
        <v>252.03859900000003</v>
      </c>
      <c r="AY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M745" s="2"/>
    </row>
    <row r="746" spans="12:65" x14ac:dyDescent="0.25">
      <c r="L746" s="2">
        <v>504016</v>
      </c>
      <c r="M746" s="2" t="s">
        <v>52</v>
      </c>
      <c r="N746" s="2">
        <v>505839</v>
      </c>
      <c r="O746" t="s">
        <v>63</v>
      </c>
      <c r="P746">
        <v>3419321564</v>
      </c>
      <c r="Q746" s="5">
        <v>46047.721331018518</v>
      </c>
      <c r="R746" s="2" t="s">
        <v>54</v>
      </c>
      <c r="S746" s="2" t="s">
        <v>51</v>
      </c>
      <c r="T746" s="2" t="s">
        <v>55</v>
      </c>
      <c r="U746" s="2" t="s">
        <v>59</v>
      </c>
      <c r="V746" s="2" t="s">
        <v>57</v>
      </c>
      <c r="W746" s="2" t="s">
        <v>58</v>
      </c>
      <c r="X746" s="2" t="s">
        <v>59</v>
      </c>
      <c r="Y746" s="1">
        <v>695.98</v>
      </c>
      <c r="Z746" s="1">
        <v>695.98</v>
      </c>
      <c r="AA746" s="1">
        <v>0</v>
      </c>
      <c r="AB746" s="1">
        <v>29.99</v>
      </c>
      <c r="AC746" s="1">
        <v>0</v>
      </c>
      <c r="AD746" s="1">
        <v>89.154210000000006</v>
      </c>
      <c r="AE746" s="1">
        <v>725.97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12.179650000000001</v>
      </c>
      <c r="AP746" s="1">
        <v>1.7051510000000001</v>
      </c>
      <c r="AQ746" s="1">
        <v>610.50877000000003</v>
      </c>
      <c r="AR746" s="1">
        <v>610.50877000000003</v>
      </c>
      <c r="AS746" s="1">
        <v>152.62719000000001</v>
      </c>
      <c r="AT746" s="1">
        <v>21.367806600000002</v>
      </c>
      <c r="AU746" s="1">
        <v>27.99</v>
      </c>
      <c r="AV746" s="2" t="s">
        <v>60</v>
      </c>
      <c r="AW746" s="1">
        <v>480.11</v>
      </c>
      <c r="AX746" s="1">
        <f>Table1[[#This Row],[Original Commissionable GMV]]-Table1[[#This Row],[Commission ]]-Table1[[#This Row],[Commission VAT]]-Table1[[#This Row],[FreeDeliveryFund]]</f>
        <v>408.52377339999998</v>
      </c>
      <c r="AY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M746" s="2"/>
    </row>
    <row r="747" spans="12:65" x14ac:dyDescent="0.25">
      <c r="L747" s="2">
        <v>504016</v>
      </c>
      <c r="M747" s="2" t="s">
        <v>52</v>
      </c>
      <c r="N747" s="2">
        <v>505839</v>
      </c>
      <c r="O747" t="s">
        <v>63</v>
      </c>
      <c r="P747">
        <v>3419355700</v>
      </c>
      <c r="Q747" s="5">
        <v>46047.732071759259</v>
      </c>
      <c r="R747" s="2" t="s">
        <v>54</v>
      </c>
      <c r="S747" s="2" t="s">
        <v>51</v>
      </c>
      <c r="T747" s="2" t="s">
        <v>55</v>
      </c>
      <c r="U747" s="2" t="s">
        <v>56</v>
      </c>
      <c r="V747" s="2" t="s">
        <v>57</v>
      </c>
      <c r="W747" s="2" t="s">
        <v>58</v>
      </c>
      <c r="X747" s="2" t="s">
        <v>59</v>
      </c>
      <c r="Y747" s="1">
        <v>764.98</v>
      </c>
      <c r="Z747" s="1">
        <v>764.98</v>
      </c>
      <c r="AA747" s="1">
        <v>0</v>
      </c>
      <c r="AB747" s="1">
        <v>29.99</v>
      </c>
      <c r="AC747" s="1">
        <v>0</v>
      </c>
      <c r="AD747" s="1">
        <v>97.627889999999994</v>
      </c>
      <c r="AE747" s="1">
        <v>794.97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13.38715</v>
      </c>
      <c r="AP747" s="1">
        <v>1.874201</v>
      </c>
      <c r="AQ747" s="1">
        <v>671.03508999999997</v>
      </c>
      <c r="AR747" s="1">
        <v>671.03508999999997</v>
      </c>
      <c r="AS747" s="1">
        <v>167.75877</v>
      </c>
      <c r="AT747" s="1">
        <v>23.486227800000002</v>
      </c>
      <c r="AU747" s="1">
        <v>27.99</v>
      </c>
      <c r="AV747" s="2" t="s">
        <v>60</v>
      </c>
      <c r="AW747" s="1">
        <v>530.48400000000004</v>
      </c>
      <c r="AX747" s="1">
        <f>Table1[[#This Row],[Original Commissionable GMV]]-Table1[[#This Row],[Commission ]]-Table1[[#This Row],[Commission VAT]]-Table1[[#This Row],[FreeDeliveryFund]]</f>
        <v>451.80009219999994</v>
      </c>
      <c r="AY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M747" s="2"/>
    </row>
    <row r="748" spans="12:65" x14ac:dyDescent="0.25">
      <c r="L748" s="2">
        <v>504016</v>
      </c>
      <c r="M748" s="2" t="s">
        <v>52</v>
      </c>
      <c r="N748" s="2">
        <v>505837</v>
      </c>
      <c r="O748" t="s">
        <v>53</v>
      </c>
      <c r="P748">
        <v>3419356746</v>
      </c>
      <c r="Q748" s="5">
        <v>46047.732418981483</v>
      </c>
      <c r="R748" s="2" t="s">
        <v>66</v>
      </c>
      <c r="S748" s="2" t="s">
        <v>51</v>
      </c>
      <c r="T748" s="2" t="s">
        <v>55</v>
      </c>
      <c r="U748" s="2" t="s">
        <v>56</v>
      </c>
      <c r="V748" s="2" t="s">
        <v>57</v>
      </c>
      <c r="W748" s="2" t="s">
        <v>58</v>
      </c>
      <c r="X748" s="2" t="s">
        <v>59</v>
      </c>
      <c r="Y748" s="1">
        <v>352.34</v>
      </c>
      <c r="Z748" s="1">
        <v>352.34</v>
      </c>
      <c r="AA748" s="1">
        <v>0</v>
      </c>
      <c r="AB748" s="1">
        <v>17.62</v>
      </c>
      <c r="AC748" s="1">
        <v>0</v>
      </c>
      <c r="AD748" s="1">
        <v>45.433680000000003</v>
      </c>
      <c r="AE748" s="1">
        <v>369.96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80</v>
      </c>
      <c r="AM748" s="1">
        <v>30</v>
      </c>
      <c r="AN748" s="1">
        <v>4.2</v>
      </c>
      <c r="AO748" s="1">
        <v>6.1659499999999996</v>
      </c>
      <c r="AP748" s="1">
        <v>0.86323300000000003</v>
      </c>
      <c r="AQ748" s="1">
        <v>309.07017999999999</v>
      </c>
      <c r="AR748" s="1">
        <v>309.07017999999999</v>
      </c>
      <c r="AS748" s="1">
        <v>77.26755</v>
      </c>
      <c r="AT748" s="1">
        <v>10.817456999999999</v>
      </c>
      <c r="AU748" s="1">
        <v>33.99</v>
      </c>
      <c r="AV748" s="2" t="s">
        <v>60</v>
      </c>
      <c r="AW748" s="1">
        <v>189.036</v>
      </c>
      <c r="AX748" s="1">
        <f>Table1[[#This Row],[Original Commissionable GMV]]-Table1[[#This Row],[Commission ]]-Table1[[#This Row],[Commission VAT]]-Table1[[#This Row],[FreeDeliveryFund]]</f>
        <v>186.99517299999999</v>
      </c>
      <c r="AY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M748" s="2"/>
    </row>
    <row r="749" spans="12:65" x14ac:dyDescent="0.25">
      <c r="L749" s="2">
        <v>504016</v>
      </c>
      <c r="M749" s="2" t="s">
        <v>52</v>
      </c>
      <c r="N749" s="2">
        <v>505839</v>
      </c>
      <c r="O749" t="s">
        <v>53</v>
      </c>
      <c r="P749">
        <v>3419367122</v>
      </c>
      <c r="Q749" s="5">
        <v>46047.735729166663</v>
      </c>
      <c r="R749" s="2" t="s">
        <v>54</v>
      </c>
      <c r="S749" s="2" t="s">
        <v>51</v>
      </c>
      <c r="T749" s="2" t="s">
        <v>55</v>
      </c>
      <c r="U749" s="2" t="s">
        <v>59</v>
      </c>
      <c r="V749" s="2" t="s">
        <v>57</v>
      </c>
      <c r="W749" s="2" t="s">
        <v>58</v>
      </c>
      <c r="X749" s="2" t="s">
        <v>59</v>
      </c>
      <c r="Y749" s="1">
        <v>698.95</v>
      </c>
      <c r="Z749" s="1">
        <v>698.95</v>
      </c>
      <c r="AA749" s="1">
        <v>0</v>
      </c>
      <c r="AB749" s="1">
        <v>29.99</v>
      </c>
      <c r="AC749" s="1">
        <v>0</v>
      </c>
      <c r="AD749" s="1">
        <v>89.518950000000004</v>
      </c>
      <c r="AE749" s="1">
        <v>728.94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12.231624999999999</v>
      </c>
      <c r="AP749" s="1">
        <v>1.7124275</v>
      </c>
      <c r="AQ749" s="1">
        <v>613.11404000000005</v>
      </c>
      <c r="AR749" s="1">
        <v>613.11404000000005</v>
      </c>
      <c r="AS749" s="1">
        <v>153.27851000000001</v>
      </c>
      <c r="AT749" s="1">
        <v>21.458991399999999</v>
      </c>
      <c r="AU749" s="1">
        <v>32.99</v>
      </c>
      <c r="AV749" s="2" t="s">
        <v>60</v>
      </c>
      <c r="AW749" s="1">
        <v>477.27800000000002</v>
      </c>
      <c r="AX749" s="1">
        <f>Table1[[#This Row],[Original Commissionable GMV]]-Table1[[#This Row],[Commission ]]-Table1[[#This Row],[Commission VAT]]-Table1[[#This Row],[FreeDeliveryFund]]</f>
        <v>405.38653860000005</v>
      </c>
      <c r="AY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M749" s="2"/>
    </row>
    <row r="750" spans="12:65" x14ac:dyDescent="0.25">
      <c r="L750" s="2">
        <v>504016</v>
      </c>
      <c r="M750" s="2" t="s">
        <v>52</v>
      </c>
      <c r="N750" s="2">
        <v>505839</v>
      </c>
      <c r="O750" t="s">
        <v>53</v>
      </c>
      <c r="P750">
        <v>3419483229</v>
      </c>
      <c r="Q750" s="5">
        <v>46047.770648148151</v>
      </c>
      <c r="R750" s="2" t="s">
        <v>54</v>
      </c>
      <c r="S750" s="2" t="s">
        <v>51</v>
      </c>
      <c r="T750" s="2" t="s">
        <v>55</v>
      </c>
      <c r="U750" s="2" t="s">
        <v>59</v>
      </c>
      <c r="V750" s="2" t="s">
        <v>57</v>
      </c>
      <c r="W750" s="2" t="s">
        <v>58</v>
      </c>
      <c r="X750" s="2" t="s">
        <v>59</v>
      </c>
      <c r="Y750" s="1">
        <v>639.98</v>
      </c>
      <c r="Z750" s="1">
        <v>639.98</v>
      </c>
      <c r="AA750" s="1">
        <v>0</v>
      </c>
      <c r="AB750" s="1">
        <v>29.99</v>
      </c>
      <c r="AC750" s="1">
        <v>0</v>
      </c>
      <c r="AD750" s="1">
        <v>82.277019999999993</v>
      </c>
      <c r="AE750" s="1">
        <v>669.97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11.19965</v>
      </c>
      <c r="AP750" s="1">
        <v>1.5679510000000001</v>
      </c>
      <c r="AQ750" s="1">
        <v>561.38595999999995</v>
      </c>
      <c r="AR750" s="1">
        <v>561.38595999999995</v>
      </c>
      <c r="AS750" s="1">
        <v>140.34648999999999</v>
      </c>
      <c r="AT750" s="1">
        <v>19.6485086</v>
      </c>
      <c r="AU750" s="1">
        <v>30.99</v>
      </c>
      <c r="AV750" s="2" t="s">
        <v>60</v>
      </c>
      <c r="AW750" s="1">
        <v>436.22699999999998</v>
      </c>
      <c r="AX750" s="1">
        <f>Table1[[#This Row],[Original Commissionable GMV]]-Table1[[#This Row],[Commission ]]-Table1[[#This Row],[Commission VAT]]-Table1[[#This Row],[FreeDeliveryFund]]</f>
        <v>370.40096139999991</v>
      </c>
      <c r="AY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M750" s="2"/>
    </row>
    <row r="751" spans="12:65" x14ac:dyDescent="0.25">
      <c r="L751" s="2">
        <v>504016</v>
      </c>
      <c r="M751" s="2" t="s">
        <v>52</v>
      </c>
      <c r="N751" s="2">
        <v>505837</v>
      </c>
      <c r="O751" t="s">
        <v>65</v>
      </c>
      <c r="P751">
        <v>3419516002</v>
      </c>
      <c r="Q751" s="5">
        <v>46047.78019675926</v>
      </c>
      <c r="R751" s="2" t="s">
        <v>54</v>
      </c>
      <c r="S751" s="2" t="s">
        <v>51</v>
      </c>
      <c r="T751" s="2" t="s">
        <v>55</v>
      </c>
      <c r="U751" s="2" t="s">
        <v>59</v>
      </c>
      <c r="V751" s="2" t="s">
        <v>57</v>
      </c>
      <c r="W751" s="2" t="s">
        <v>58</v>
      </c>
      <c r="X751" s="2" t="s">
        <v>59</v>
      </c>
      <c r="Y751" s="1">
        <v>620.99</v>
      </c>
      <c r="Z751" s="1">
        <v>620.99</v>
      </c>
      <c r="AA751" s="1">
        <v>35.99</v>
      </c>
      <c r="AB751" s="1">
        <v>29.99</v>
      </c>
      <c r="AC751" s="1">
        <v>0</v>
      </c>
      <c r="AD751" s="1">
        <v>84.364739999999998</v>
      </c>
      <c r="AE751" s="1">
        <v>686.97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30</v>
      </c>
      <c r="AN751" s="1">
        <v>4.2</v>
      </c>
      <c r="AO751" s="1">
        <v>10.867324999999999</v>
      </c>
      <c r="AP751" s="1">
        <v>1.5214255000000001</v>
      </c>
      <c r="AQ751" s="1">
        <v>544.72807</v>
      </c>
      <c r="AR751" s="1">
        <v>544.72807</v>
      </c>
      <c r="AS751" s="1">
        <v>136.18201999999999</v>
      </c>
      <c r="AT751" s="1">
        <v>19.065482800000002</v>
      </c>
      <c r="AU751" s="1">
        <v>0</v>
      </c>
      <c r="AV751" s="2" t="s">
        <v>69</v>
      </c>
      <c r="AW751" s="1">
        <v>419.154</v>
      </c>
      <c r="AX751" s="1">
        <f>Table1[[#This Row],[Original Commissionable GMV]]-Table1[[#This Row],[Commission ]]-Table1[[#This Row],[Commission VAT]]-Table1[[#This Row],[FreeDeliveryFund]]</f>
        <v>389.48056720000005</v>
      </c>
      <c r="AY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M751" s="2"/>
    </row>
    <row r="752" spans="12:65" x14ac:dyDescent="0.25">
      <c r="L752" s="2">
        <v>504016</v>
      </c>
      <c r="M752" s="2" t="s">
        <v>52</v>
      </c>
      <c r="N752" s="2">
        <v>505839</v>
      </c>
      <c r="O752" t="s">
        <v>65</v>
      </c>
      <c r="P752">
        <v>3419571355</v>
      </c>
      <c r="Q752" s="5">
        <v>46047.796215277776</v>
      </c>
      <c r="R752" s="2" t="s">
        <v>54</v>
      </c>
      <c r="S752" s="2" t="s">
        <v>51</v>
      </c>
      <c r="T752" s="2" t="s">
        <v>55</v>
      </c>
      <c r="U752" s="2" t="s">
        <v>56</v>
      </c>
      <c r="V752" s="2" t="s">
        <v>57</v>
      </c>
      <c r="W752" s="2" t="s">
        <v>58</v>
      </c>
      <c r="X752" s="2" t="s">
        <v>59</v>
      </c>
      <c r="Y752" s="1">
        <v>528.99</v>
      </c>
      <c r="Z752" s="1">
        <v>528.99</v>
      </c>
      <c r="AA752" s="1">
        <v>7</v>
      </c>
      <c r="AB752" s="1">
        <v>26.45</v>
      </c>
      <c r="AC752" s="1">
        <v>0</v>
      </c>
      <c r="AD752" s="1">
        <v>69.071579999999997</v>
      </c>
      <c r="AE752" s="1">
        <v>562.44000000000005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9.2573249999999998</v>
      </c>
      <c r="AP752" s="1">
        <v>1.2960255000000001</v>
      </c>
      <c r="AQ752" s="1">
        <v>464.02632</v>
      </c>
      <c r="AR752" s="1">
        <v>464.02632</v>
      </c>
      <c r="AS752" s="1">
        <v>116.00658</v>
      </c>
      <c r="AT752" s="1">
        <v>16.240921199999999</v>
      </c>
      <c r="AU752" s="1">
        <v>26.99</v>
      </c>
      <c r="AV752" s="2" t="s">
        <v>60</v>
      </c>
      <c r="AW752" s="1">
        <v>359.19900000000001</v>
      </c>
      <c r="AX752" s="1">
        <f>Table1[[#This Row],[Original Commissionable GMV]]-Table1[[#This Row],[Commission ]]-Table1[[#This Row],[Commission VAT]]-Table1[[#This Row],[FreeDeliveryFund]]</f>
        <v>304.7888188</v>
      </c>
      <c r="AY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M752" s="2"/>
    </row>
    <row r="753" spans="12:65" x14ac:dyDescent="0.25">
      <c r="L753" s="2">
        <v>504016</v>
      </c>
      <c r="M753" s="2" t="s">
        <v>52</v>
      </c>
      <c r="N753" s="2">
        <v>505837</v>
      </c>
      <c r="O753" t="s">
        <v>53</v>
      </c>
      <c r="P753">
        <v>3419588730</v>
      </c>
      <c r="Q753" s="5">
        <v>46047.80128472222</v>
      </c>
      <c r="R753" s="2" t="s">
        <v>54</v>
      </c>
      <c r="S753" s="2" t="s">
        <v>51</v>
      </c>
      <c r="T753" s="2" t="s">
        <v>55</v>
      </c>
      <c r="U753" s="2" t="s">
        <v>56</v>
      </c>
      <c r="V753" s="2" t="s">
        <v>57</v>
      </c>
      <c r="W753" s="2" t="s">
        <v>58</v>
      </c>
      <c r="X753" s="2" t="s">
        <v>59</v>
      </c>
      <c r="Y753" s="1">
        <v>209.99</v>
      </c>
      <c r="Z753" s="1">
        <v>209.99</v>
      </c>
      <c r="AA753" s="1">
        <v>0</v>
      </c>
      <c r="AB753" s="1">
        <v>10.5</v>
      </c>
      <c r="AC753" s="1">
        <v>0</v>
      </c>
      <c r="AD753" s="1">
        <v>27.077719999999999</v>
      </c>
      <c r="AE753" s="1">
        <v>220.49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45</v>
      </c>
      <c r="AM753" s="1">
        <v>0</v>
      </c>
      <c r="AN753" s="1">
        <v>0</v>
      </c>
      <c r="AO753" s="1">
        <v>3.6748249999999998</v>
      </c>
      <c r="AP753" s="1">
        <v>0.51447549999999997</v>
      </c>
      <c r="AQ753" s="1">
        <v>184.20175</v>
      </c>
      <c r="AR753" s="1">
        <v>184.20175</v>
      </c>
      <c r="AS753" s="1">
        <v>46.050440000000002</v>
      </c>
      <c r="AT753" s="1">
        <v>6.4470615999999996</v>
      </c>
      <c r="AU753" s="1">
        <v>31.99</v>
      </c>
      <c r="AV753" s="2" t="s">
        <v>60</v>
      </c>
      <c r="AW753" s="1">
        <v>121.313</v>
      </c>
      <c r="AX753" s="1">
        <f>Table1[[#This Row],[Original Commissionable GMV]]-Table1[[#This Row],[Commission ]]-Table1[[#This Row],[Commission VAT]]-Table1[[#This Row],[FreeDeliveryFund]]</f>
        <v>99.714248399999988</v>
      </c>
      <c r="AY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M753" s="2"/>
    </row>
    <row r="754" spans="12:65" x14ac:dyDescent="0.25">
      <c r="L754" s="2">
        <v>504016</v>
      </c>
      <c r="M754" s="2" t="s">
        <v>52</v>
      </c>
      <c r="N754" s="2">
        <v>505839</v>
      </c>
      <c r="O754" t="s">
        <v>65</v>
      </c>
      <c r="P754">
        <v>3419592367</v>
      </c>
      <c r="Q754" s="5">
        <v>46047.802349537036</v>
      </c>
      <c r="R754" s="2" t="s">
        <v>54</v>
      </c>
      <c r="S754" s="2" t="s">
        <v>51</v>
      </c>
      <c r="T754" s="2" t="s">
        <v>55</v>
      </c>
      <c r="U754" s="2" t="s">
        <v>56</v>
      </c>
      <c r="V754" s="2" t="s">
        <v>57</v>
      </c>
      <c r="W754" s="2" t="s">
        <v>58</v>
      </c>
      <c r="X754" s="2" t="s">
        <v>59</v>
      </c>
      <c r="Y754" s="1">
        <v>554.80999999999995</v>
      </c>
      <c r="Z754" s="1">
        <v>554.80999999999995</v>
      </c>
      <c r="AA754" s="1">
        <v>0</v>
      </c>
      <c r="AB754" s="1">
        <v>27.74</v>
      </c>
      <c r="AC754" s="1">
        <v>0</v>
      </c>
      <c r="AD754" s="1">
        <v>71.541229999999999</v>
      </c>
      <c r="AE754" s="1">
        <v>582.54999999999995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30</v>
      </c>
      <c r="AN754" s="1">
        <v>4.2</v>
      </c>
      <c r="AO754" s="1">
        <v>9.7091750000000001</v>
      </c>
      <c r="AP754" s="1">
        <v>1.3592845</v>
      </c>
      <c r="AQ754" s="1">
        <v>486.67543999999998</v>
      </c>
      <c r="AR754" s="1">
        <v>486.67543999999998</v>
      </c>
      <c r="AS754" s="1">
        <v>121.66886</v>
      </c>
      <c r="AT754" s="1">
        <v>17.033640399999999</v>
      </c>
      <c r="AU754" s="1">
        <v>28.99</v>
      </c>
      <c r="AV754" s="2" t="s">
        <v>60</v>
      </c>
      <c r="AW754" s="1">
        <v>341.84899999999999</v>
      </c>
      <c r="AX754" s="1">
        <f>Table1[[#This Row],[Original Commissionable GMV]]-Table1[[#This Row],[Commission ]]-Table1[[#This Row],[Commission VAT]]-Table1[[#This Row],[FreeDeliveryFund]]</f>
        <v>318.98293959999995</v>
      </c>
      <c r="AY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M754" s="2"/>
    </row>
    <row r="755" spans="12:65" x14ac:dyDescent="0.25">
      <c r="L755" s="2">
        <v>504016</v>
      </c>
      <c r="M755" s="2" t="s">
        <v>52</v>
      </c>
      <c r="N755" s="2">
        <v>505839</v>
      </c>
      <c r="O755" t="s">
        <v>63</v>
      </c>
      <c r="P755">
        <v>3419621767</v>
      </c>
      <c r="Q755" s="5">
        <v>46047.811018518521</v>
      </c>
      <c r="R755" s="2" t="s">
        <v>62</v>
      </c>
      <c r="S755" s="2" t="s">
        <v>51</v>
      </c>
      <c r="T755" s="2" t="s">
        <v>55</v>
      </c>
      <c r="U755" s="2" t="s">
        <v>59</v>
      </c>
      <c r="V755" s="2" t="s">
        <v>57</v>
      </c>
      <c r="W755" s="2" t="s">
        <v>58</v>
      </c>
      <c r="X755" s="2" t="s">
        <v>59</v>
      </c>
      <c r="Y755" s="1">
        <v>419.99</v>
      </c>
      <c r="Z755" s="1">
        <v>419.99</v>
      </c>
      <c r="AA755" s="1">
        <v>0</v>
      </c>
      <c r="AB755" s="1">
        <v>21</v>
      </c>
      <c r="AC755" s="1">
        <v>0</v>
      </c>
      <c r="AD755" s="1">
        <v>54.156669999999998</v>
      </c>
      <c r="AE755" s="1">
        <v>440.99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368.41228000000001</v>
      </c>
      <c r="AR755" s="1">
        <v>368.41228000000001</v>
      </c>
      <c r="AS755" s="1">
        <v>92.103070000000002</v>
      </c>
      <c r="AT755" s="1">
        <v>12.894429799999999</v>
      </c>
      <c r="AU755" s="1">
        <v>28.99</v>
      </c>
      <c r="AV755" s="2" t="s">
        <v>60</v>
      </c>
      <c r="AW755" s="1">
        <v>286.00299999999999</v>
      </c>
      <c r="AX755" s="1">
        <f>Table1[[#This Row],[Original Commissionable GMV]]-Table1[[#This Row],[Commission ]]-Table1[[#This Row],[Commission VAT]]-Table1[[#This Row],[FreeDeliveryFund]]</f>
        <v>234.42478019999999</v>
      </c>
      <c r="AY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M755" s="2"/>
    </row>
    <row r="756" spans="12:65" x14ac:dyDescent="0.25">
      <c r="L756" s="2">
        <v>504016</v>
      </c>
      <c r="M756" s="2" t="s">
        <v>52</v>
      </c>
      <c r="N756" s="2">
        <v>505837</v>
      </c>
      <c r="O756" t="s">
        <v>53</v>
      </c>
      <c r="P756">
        <v>3419637568</v>
      </c>
      <c r="Q756" s="5">
        <v>46047.815729166665</v>
      </c>
      <c r="R756" s="2" t="s">
        <v>54</v>
      </c>
      <c r="S756" s="2" t="s">
        <v>51</v>
      </c>
      <c r="T756" s="2" t="s">
        <v>55</v>
      </c>
      <c r="U756" s="2" t="s">
        <v>56</v>
      </c>
      <c r="V756" s="2" t="s">
        <v>57</v>
      </c>
      <c r="W756" s="2" t="s">
        <v>58</v>
      </c>
      <c r="X756" s="2" t="s">
        <v>59</v>
      </c>
      <c r="Y756" s="1">
        <v>1361.97</v>
      </c>
      <c r="Z756" s="1">
        <v>1361.97</v>
      </c>
      <c r="AA756" s="1">
        <v>30.99</v>
      </c>
      <c r="AB756" s="1">
        <v>29.99</v>
      </c>
      <c r="AC756" s="1">
        <v>0</v>
      </c>
      <c r="AD756" s="1">
        <v>174.74825000000001</v>
      </c>
      <c r="AE756" s="1">
        <v>1422.95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23.834475000000001</v>
      </c>
      <c r="AP756" s="1">
        <v>3.3368264999999999</v>
      </c>
      <c r="AQ756" s="1">
        <v>1194.7105300000001</v>
      </c>
      <c r="AR756" s="1">
        <v>1194.7105300000001</v>
      </c>
      <c r="AS756" s="1">
        <v>298.67763000000002</v>
      </c>
      <c r="AT756" s="1">
        <v>41.814868199999999</v>
      </c>
      <c r="AU756" s="1">
        <v>0</v>
      </c>
      <c r="AV756" s="2" t="s">
        <v>69</v>
      </c>
      <c r="AW756" s="1">
        <v>994.30600000000004</v>
      </c>
      <c r="AX756" s="1">
        <f>Table1[[#This Row],[Original Commissionable GMV]]-Table1[[#This Row],[Commission ]]-Table1[[#This Row],[Commission VAT]]-Table1[[#This Row],[FreeDeliveryFund]]</f>
        <v>854.21803180000006</v>
      </c>
      <c r="AY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M756" s="2"/>
    </row>
    <row r="757" spans="12:65" x14ac:dyDescent="0.25">
      <c r="L757" s="2">
        <v>504016</v>
      </c>
      <c r="M757" s="2" t="s">
        <v>52</v>
      </c>
      <c r="N757" s="2">
        <v>505839</v>
      </c>
      <c r="O757" t="s">
        <v>65</v>
      </c>
      <c r="P757">
        <v>3419658764</v>
      </c>
      <c r="Q757" s="5">
        <v>46047.822118055556</v>
      </c>
      <c r="R757" s="2" t="s">
        <v>62</v>
      </c>
      <c r="S757" s="2" t="s">
        <v>51</v>
      </c>
      <c r="T757" s="2" t="s">
        <v>55</v>
      </c>
      <c r="U757" s="2" t="s">
        <v>59</v>
      </c>
      <c r="V757" s="2" t="s">
        <v>57</v>
      </c>
      <c r="W757" s="2" t="s">
        <v>58</v>
      </c>
      <c r="X757" s="2" t="s">
        <v>59</v>
      </c>
      <c r="Y757" s="1">
        <v>385.99</v>
      </c>
      <c r="Z757" s="1">
        <v>385.99</v>
      </c>
      <c r="AA757" s="1">
        <v>28.99</v>
      </c>
      <c r="AB757" s="1">
        <v>19.3</v>
      </c>
      <c r="AC757" s="1">
        <v>0</v>
      </c>
      <c r="AD757" s="1">
        <v>53.332630000000002</v>
      </c>
      <c r="AE757" s="1">
        <v>434.28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338.58771999999999</v>
      </c>
      <c r="AR757" s="1">
        <v>338.58771999999999</v>
      </c>
      <c r="AS757" s="1">
        <v>84.646929999999998</v>
      </c>
      <c r="AT757" s="1">
        <v>11.8505702</v>
      </c>
      <c r="AU757" s="1">
        <v>0</v>
      </c>
      <c r="AV757" s="2" t="s">
        <v>69</v>
      </c>
      <c r="AW757" s="1">
        <v>289.49200000000002</v>
      </c>
      <c r="AX757" s="1">
        <f>Table1[[#This Row],[Original Commissionable GMV]]-Table1[[#This Row],[Commission ]]-Table1[[#This Row],[Commission VAT]]-Table1[[#This Row],[FreeDeliveryFund]]</f>
        <v>242.0902198</v>
      </c>
      <c r="AY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M757" s="2"/>
    </row>
    <row r="758" spans="12:65" x14ac:dyDescent="0.25">
      <c r="L758" s="2">
        <v>504016</v>
      </c>
      <c r="M758" s="2" t="s">
        <v>52</v>
      </c>
      <c r="N758" s="2">
        <v>505837</v>
      </c>
      <c r="O758" t="s">
        <v>65</v>
      </c>
      <c r="P758">
        <v>3419750216</v>
      </c>
      <c r="Q758" s="5">
        <v>46047.850844907407</v>
      </c>
      <c r="R758" s="2" t="s">
        <v>54</v>
      </c>
      <c r="S758" s="2" t="s">
        <v>51</v>
      </c>
      <c r="T758" s="2" t="s">
        <v>55</v>
      </c>
      <c r="U758" s="2" t="s">
        <v>56</v>
      </c>
      <c r="V758" s="2" t="s">
        <v>57</v>
      </c>
      <c r="W758" s="2" t="s">
        <v>58</v>
      </c>
      <c r="X758" s="2" t="s">
        <v>59</v>
      </c>
      <c r="Y758" s="1">
        <v>400.71</v>
      </c>
      <c r="Z758" s="1">
        <v>400.71</v>
      </c>
      <c r="AA758" s="1">
        <v>7</v>
      </c>
      <c r="AB758" s="1">
        <v>20.04</v>
      </c>
      <c r="AC758" s="1">
        <v>0</v>
      </c>
      <c r="AD758" s="1">
        <v>52.530700000000003</v>
      </c>
      <c r="AE758" s="1">
        <v>427.75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7.0124250000000004</v>
      </c>
      <c r="AP758" s="1">
        <v>0.98173949999999999</v>
      </c>
      <c r="AQ758" s="1">
        <v>351.5</v>
      </c>
      <c r="AR758" s="1">
        <v>351.5</v>
      </c>
      <c r="AS758" s="1">
        <v>87.875</v>
      </c>
      <c r="AT758" s="1">
        <v>12.3025</v>
      </c>
      <c r="AU758" s="1">
        <v>26.99</v>
      </c>
      <c r="AV758" s="2" t="s">
        <v>60</v>
      </c>
      <c r="AW758" s="1">
        <v>265.548</v>
      </c>
      <c r="AX758" s="1">
        <f>Table1[[#This Row],[Original Commissionable GMV]]-Table1[[#This Row],[Commission ]]-Table1[[#This Row],[Commission VAT]]-Table1[[#This Row],[FreeDeliveryFund]]</f>
        <v>224.33249999999998</v>
      </c>
      <c r="AY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M758" s="2"/>
    </row>
    <row r="759" spans="12:65" x14ac:dyDescent="0.25">
      <c r="L759" s="2">
        <v>504016</v>
      </c>
      <c r="M759" s="2" t="s">
        <v>52</v>
      </c>
      <c r="N759" s="2">
        <v>505839</v>
      </c>
      <c r="O759" t="s">
        <v>63</v>
      </c>
      <c r="P759">
        <v>3419767373</v>
      </c>
      <c r="Q759" s="5">
        <v>46047.856562499997</v>
      </c>
      <c r="R759" s="2" t="s">
        <v>62</v>
      </c>
      <c r="S759" s="2" t="s">
        <v>51</v>
      </c>
      <c r="T759" s="2" t="s">
        <v>55</v>
      </c>
      <c r="U759" s="2" t="s">
        <v>56</v>
      </c>
      <c r="V759" s="2" t="s">
        <v>57</v>
      </c>
      <c r="W759" s="2" t="s">
        <v>58</v>
      </c>
      <c r="X759" s="2" t="s">
        <v>59</v>
      </c>
      <c r="Y759" s="1">
        <v>379.98</v>
      </c>
      <c r="Z759" s="1">
        <v>379.98</v>
      </c>
      <c r="AA759" s="1">
        <v>28.99</v>
      </c>
      <c r="AB759" s="1">
        <v>19</v>
      </c>
      <c r="AC759" s="1">
        <v>0</v>
      </c>
      <c r="AD759" s="1">
        <v>52.557720000000003</v>
      </c>
      <c r="AE759" s="1">
        <v>427.97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333.31578999999999</v>
      </c>
      <c r="AR759" s="1">
        <v>333.31578999999999</v>
      </c>
      <c r="AS759" s="1">
        <v>83.328950000000006</v>
      </c>
      <c r="AT759" s="1">
        <v>11.666053</v>
      </c>
      <c r="AU759" s="1">
        <v>0</v>
      </c>
      <c r="AV759" s="2" t="s">
        <v>69</v>
      </c>
      <c r="AW759" s="1">
        <v>284.98500000000001</v>
      </c>
      <c r="AX759" s="1">
        <f>Table1[[#This Row],[Original Commissionable GMV]]-Table1[[#This Row],[Commission ]]-Table1[[#This Row],[Commission VAT]]-Table1[[#This Row],[FreeDeliveryFund]]</f>
        <v>238.32078699999997</v>
      </c>
      <c r="AY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M759" s="2"/>
    </row>
    <row r="760" spans="12:65" x14ac:dyDescent="0.25">
      <c r="L760" s="2">
        <v>504016</v>
      </c>
      <c r="M760" s="2" t="s">
        <v>52</v>
      </c>
      <c r="N760" s="2">
        <v>505839</v>
      </c>
      <c r="O760" t="s">
        <v>53</v>
      </c>
      <c r="P760">
        <v>3419769912</v>
      </c>
      <c r="Q760" s="5">
        <v>46047.85738425926</v>
      </c>
      <c r="R760" s="2" t="s">
        <v>54</v>
      </c>
      <c r="S760" s="2" t="s">
        <v>51</v>
      </c>
      <c r="T760" s="2" t="s">
        <v>55</v>
      </c>
      <c r="U760" s="2" t="s">
        <v>56</v>
      </c>
      <c r="V760" s="2" t="s">
        <v>57</v>
      </c>
      <c r="W760" s="2" t="s">
        <v>58</v>
      </c>
      <c r="X760" s="2" t="s">
        <v>59</v>
      </c>
      <c r="Y760" s="1">
        <v>319</v>
      </c>
      <c r="Z760" s="1">
        <v>319</v>
      </c>
      <c r="AA760" s="1">
        <v>0</v>
      </c>
      <c r="AB760" s="1">
        <v>15.95</v>
      </c>
      <c r="AC760" s="1">
        <v>0</v>
      </c>
      <c r="AD760" s="1">
        <v>41.134210000000003</v>
      </c>
      <c r="AE760" s="1">
        <v>334.95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5.5824999999999996</v>
      </c>
      <c r="AP760" s="1">
        <v>0.78154999999999997</v>
      </c>
      <c r="AQ760" s="1">
        <v>279.82456000000002</v>
      </c>
      <c r="AR760" s="1">
        <v>279.82456000000002</v>
      </c>
      <c r="AS760" s="1">
        <v>69.956140000000005</v>
      </c>
      <c r="AT760" s="1">
        <v>9.7938595999999993</v>
      </c>
      <c r="AU760" s="1">
        <v>30.99</v>
      </c>
      <c r="AV760" s="2" t="s">
        <v>60</v>
      </c>
      <c r="AW760" s="1">
        <v>201.89599999999999</v>
      </c>
      <c r="AX760" s="1">
        <f>Table1[[#This Row],[Original Commissionable GMV]]-Table1[[#This Row],[Commission ]]-Table1[[#This Row],[Commission VAT]]-Table1[[#This Row],[FreeDeliveryFund]]</f>
        <v>169.08456040000002</v>
      </c>
      <c r="AY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M760" s="2"/>
    </row>
    <row r="761" spans="12:65" x14ac:dyDescent="0.25">
      <c r="L761" s="2">
        <v>504016</v>
      </c>
      <c r="M761" s="2" t="s">
        <v>52</v>
      </c>
      <c r="N761" s="2">
        <v>505839</v>
      </c>
      <c r="O761" t="s">
        <v>53</v>
      </c>
      <c r="P761">
        <v>3419772724</v>
      </c>
      <c r="Q761" s="5">
        <v>46047.858298611114</v>
      </c>
      <c r="R761" s="2" t="s">
        <v>62</v>
      </c>
      <c r="S761" s="2" t="s">
        <v>51</v>
      </c>
      <c r="T761" s="2" t="s">
        <v>55</v>
      </c>
      <c r="U761" s="2" t="s">
        <v>59</v>
      </c>
      <c r="V761" s="2" t="s">
        <v>57</v>
      </c>
      <c r="W761" s="2" t="s">
        <v>58</v>
      </c>
      <c r="X761" s="2" t="s">
        <v>59</v>
      </c>
      <c r="Y761" s="1">
        <v>1271.97</v>
      </c>
      <c r="Z761" s="1">
        <v>1271.97</v>
      </c>
      <c r="AA761" s="1">
        <v>41.99</v>
      </c>
      <c r="AB761" s="1">
        <v>29.99</v>
      </c>
      <c r="AC761" s="1">
        <v>0</v>
      </c>
      <c r="AD761" s="1">
        <v>165.04649000000001</v>
      </c>
      <c r="AE761" s="1">
        <v>1343.95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1115.76316</v>
      </c>
      <c r="AR761" s="1">
        <v>1115.76316</v>
      </c>
      <c r="AS761" s="1">
        <v>278.94078999999999</v>
      </c>
      <c r="AT761" s="1">
        <v>39.0517106</v>
      </c>
      <c r="AU761" s="1">
        <v>0</v>
      </c>
      <c r="AV761" s="2" t="s">
        <v>69</v>
      </c>
      <c r="AW761" s="1">
        <v>953.97699999999998</v>
      </c>
      <c r="AX761" s="1">
        <f>Table1[[#This Row],[Original Commissionable GMV]]-Table1[[#This Row],[Commission ]]-Table1[[#This Row],[Commission VAT]]-Table1[[#This Row],[FreeDeliveryFund]]</f>
        <v>797.7706594</v>
      </c>
      <c r="AY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M761" s="2"/>
    </row>
    <row r="762" spans="12:65" x14ac:dyDescent="0.25">
      <c r="L762" s="2">
        <v>504016</v>
      </c>
      <c r="M762" s="2" t="s">
        <v>52</v>
      </c>
      <c r="N762" s="2">
        <v>505837</v>
      </c>
      <c r="O762" t="s">
        <v>53</v>
      </c>
      <c r="P762">
        <v>3419844999</v>
      </c>
      <c r="Q762" s="5">
        <v>46047.884074074071</v>
      </c>
      <c r="R762" s="2" t="s">
        <v>54</v>
      </c>
      <c r="S762" s="2" t="s">
        <v>51</v>
      </c>
      <c r="T762" s="2" t="s">
        <v>55</v>
      </c>
      <c r="U762" s="2" t="s">
        <v>56</v>
      </c>
      <c r="V762" s="2" t="s">
        <v>57</v>
      </c>
      <c r="W762" s="2" t="s">
        <v>58</v>
      </c>
      <c r="X762" s="2" t="s">
        <v>59</v>
      </c>
      <c r="Y762" s="1">
        <v>250</v>
      </c>
      <c r="Z762" s="1">
        <v>250</v>
      </c>
      <c r="AA762" s="1">
        <v>0</v>
      </c>
      <c r="AB762" s="1">
        <v>12.5</v>
      </c>
      <c r="AC762" s="1">
        <v>0</v>
      </c>
      <c r="AD762" s="1">
        <v>32.236840000000001</v>
      </c>
      <c r="AE762" s="1">
        <v>262.5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4.375</v>
      </c>
      <c r="AP762" s="1">
        <v>0.61250000000000004</v>
      </c>
      <c r="AQ762" s="1">
        <v>219.29825</v>
      </c>
      <c r="AR762" s="1">
        <v>219.29825</v>
      </c>
      <c r="AS762" s="1">
        <v>54.824559999999998</v>
      </c>
      <c r="AT762" s="1">
        <v>7.6754384</v>
      </c>
      <c r="AU762" s="1">
        <v>34.99</v>
      </c>
      <c r="AV762" s="2" t="s">
        <v>60</v>
      </c>
      <c r="AW762" s="1">
        <v>147.523</v>
      </c>
      <c r="AX762" s="1">
        <f>Table1[[#This Row],[Original Commissionable GMV]]-Table1[[#This Row],[Commission ]]-Table1[[#This Row],[Commission VAT]]-Table1[[#This Row],[FreeDeliveryFund]]</f>
        <v>121.80825160000001</v>
      </c>
      <c r="AY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M762" s="2"/>
    </row>
    <row r="763" spans="12:65" x14ac:dyDescent="0.25">
      <c r="L763" s="2">
        <v>504016</v>
      </c>
      <c r="M763" s="2" t="s">
        <v>52</v>
      </c>
      <c r="N763" s="2">
        <v>505837</v>
      </c>
      <c r="O763" t="s">
        <v>53</v>
      </c>
      <c r="P763">
        <v>3419848273</v>
      </c>
      <c r="Q763" s="5">
        <v>46047.885300925926</v>
      </c>
      <c r="R763" s="2" t="s">
        <v>66</v>
      </c>
      <c r="S763" s="2" t="s">
        <v>51</v>
      </c>
      <c r="T763" s="2" t="s">
        <v>55</v>
      </c>
      <c r="U763" s="2" t="s">
        <v>56</v>
      </c>
      <c r="V763" s="2" t="s">
        <v>57</v>
      </c>
      <c r="W763" s="2" t="s">
        <v>58</v>
      </c>
      <c r="X763" s="2" t="s">
        <v>59</v>
      </c>
      <c r="Y763" s="1">
        <v>389.99</v>
      </c>
      <c r="Z763" s="1">
        <v>389.99</v>
      </c>
      <c r="AA763" s="1">
        <v>9</v>
      </c>
      <c r="AB763" s="1">
        <v>19.5</v>
      </c>
      <c r="AC763" s="1">
        <v>0</v>
      </c>
      <c r="AD763" s="1">
        <v>51.393509999999999</v>
      </c>
      <c r="AE763" s="1">
        <v>418.49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6.8248249999999997</v>
      </c>
      <c r="AP763" s="1">
        <v>0.95547550000000003</v>
      </c>
      <c r="AQ763" s="1">
        <v>342.09649000000002</v>
      </c>
      <c r="AR763" s="1">
        <v>342.09649000000002</v>
      </c>
      <c r="AS763" s="1">
        <v>85.524119999999996</v>
      </c>
      <c r="AT763" s="1">
        <v>11.9733768</v>
      </c>
      <c r="AU763" s="1">
        <v>32.99</v>
      </c>
      <c r="AV763" s="2" t="s">
        <v>60</v>
      </c>
      <c r="AW763" s="1">
        <v>251.72200000000001</v>
      </c>
      <c r="AX763" s="1">
        <f>Table1[[#This Row],[Original Commissionable GMV]]-Table1[[#This Row],[Commission ]]-Table1[[#This Row],[Commission VAT]]-Table1[[#This Row],[FreeDeliveryFund]]</f>
        <v>211.60899320000001</v>
      </c>
      <c r="AY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M763" s="2"/>
    </row>
    <row r="764" spans="12:65" x14ac:dyDescent="0.25">
      <c r="L764" s="2">
        <v>504016</v>
      </c>
      <c r="M764" s="2" t="s">
        <v>52</v>
      </c>
      <c r="N764" s="2">
        <v>505839</v>
      </c>
      <c r="O764" t="s">
        <v>53</v>
      </c>
      <c r="P764">
        <v>3419855989</v>
      </c>
      <c r="Q764" s="5">
        <v>46047.888171296298</v>
      </c>
      <c r="R764" s="2" t="s">
        <v>54</v>
      </c>
      <c r="S764" s="2" t="s">
        <v>51</v>
      </c>
      <c r="T764" s="2" t="s">
        <v>55</v>
      </c>
      <c r="U764" s="2" t="s">
        <v>59</v>
      </c>
      <c r="V764" s="2" t="s">
        <v>57</v>
      </c>
      <c r="W764" s="2" t="s">
        <v>58</v>
      </c>
      <c r="X764" s="2" t="s">
        <v>59</v>
      </c>
      <c r="Y764" s="1">
        <v>417.82</v>
      </c>
      <c r="Z764" s="1">
        <v>417.82</v>
      </c>
      <c r="AA764" s="1">
        <v>39.99</v>
      </c>
      <c r="AB764" s="1">
        <v>20.89</v>
      </c>
      <c r="AC764" s="1">
        <v>0</v>
      </c>
      <c r="AD764" s="1">
        <v>58.78772</v>
      </c>
      <c r="AE764" s="1">
        <v>478.7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7.3118499999999997</v>
      </c>
      <c r="AP764" s="1">
        <v>1.0236590000000001</v>
      </c>
      <c r="AQ764" s="1">
        <v>366.50877000000003</v>
      </c>
      <c r="AR764" s="1">
        <v>366.50877000000003</v>
      </c>
      <c r="AS764" s="1">
        <v>91.627189999999999</v>
      </c>
      <c r="AT764" s="1">
        <v>12.827806600000001</v>
      </c>
      <c r="AU764" s="1">
        <v>0</v>
      </c>
      <c r="AV764" s="2" t="s">
        <v>69</v>
      </c>
      <c r="AW764" s="1">
        <v>305.029</v>
      </c>
      <c r="AX764" s="1">
        <f>Table1[[#This Row],[Original Commissionable GMV]]-Table1[[#This Row],[Commission ]]-Table1[[#This Row],[Commission VAT]]-Table1[[#This Row],[FreeDeliveryFund]]</f>
        <v>262.05377340000007</v>
      </c>
      <c r="AY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M764" s="2"/>
    </row>
    <row r="765" spans="12:65" x14ac:dyDescent="0.25">
      <c r="L765" s="2">
        <v>504016</v>
      </c>
      <c r="M765" s="2" t="s">
        <v>52</v>
      </c>
      <c r="N765" s="2">
        <v>505835</v>
      </c>
      <c r="O765" t="s">
        <v>65</v>
      </c>
      <c r="P765">
        <v>3419879296</v>
      </c>
      <c r="Q765" s="5">
        <v>46047.897222222222</v>
      </c>
      <c r="R765" s="2" t="s">
        <v>54</v>
      </c>
      <c r="S765" s="2" t="s">
        <v>51</v>
      </c>
      <c r="T765" s="2" t="s">
        <v>55</v>
      </c>
      <c r="U765" s="2" t="s">
        <v>56</v>
      </c>
      <c r="V765" s="2" t="s">
        <v>57</v>
      </c>
      <c r="W765" s="2" t="s">
        <v>58</v>
      </c>
      <c r="X765" s="2" t="s">
        <v>59</v>
      </c>
      <c r="Y765" s="1">
        <v>448.86</v>
      </c>
      <c r="Z765" s="1">
        <v>448.86</v>
      </c>
      <c r="AA765" s="1">
        <v>7</v>
      </c>
      <c r="AB765" s="1">
        <v>22.44</v>
      </c>
      <c r="AC765" s="1">
        <v>0</v>
      </c>
      <c r="AD765" s="1">
        <v>58.738599999999998</v>
      </c>
      <c r="AE765" s="1">
        <v>478.3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7.8550500000000003</v>
      </c>
      <c r="AP765" s="1">
        <v>1.099707</v>
      </c>
      <c r="AQ765" s="1">
        <v>393.73683999999997</v>
      </c>
      <c r="AR765" s="1">
        <v>393.73683999999997</v>
      </c>
      <c r="AS765" s="1">
        <v>98.434209999999993</v>
      </c>
      <c r="AT765" s="1">
        <v>13.7807894</v>
      </c>
      <c r="AU765" s="1">
        <v>28.99</v>
      </c>
      <c r="AV765" s="2" t="s">
        <v>60</v>
      </c>
      <c r="AW765" s="1">
        <v>298.7</v>
      </c>
      <c r="AX765" s="1">
        <f>Table1[[#This Row],[Original Commissionable GMV]]-Table1[[#This Row],[Commission ]]-Table1[[#This Row],[Commission VAT]]-Table1[[#This Row],[FreeDeliveryFund]]</f>
        <v>252.53184059999995</v>
      </c>
      <c r="AY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M765" s="2"/>
    </row>
    <row r="766" spans="12:65" x14ac:dyDescent="0.25">
      <c r="L766" s="2">
        <v>504016</v>
      </c>
      <c r="M766" s="2" t="s">
        <v>52</v>
      </c>
      <c r="N766" s="2">
        <v>505835</v>
      </c>
      <c r="O766" t="s">
        <v>53</v>
      </c>
      <c r="P766">
        <v>3419923990</v>
      </c>
      <c r="Q766" s="5">
        <v>46047.916284722225</v>
      </c>
      <c r="R766" s="2" t="s">
        <v>62</v>
      </c>
      <c r="S766" s="2" t="s">
        <v>51</v>
      </c>
      <c r="T766" s="2" t="s">
        <v>55</v>
      </c>
      <c r="U766" s="2" t="s">
        <v>59</v>
      </c>
      <c r="V766" s="2" t="s">
        <v>57</v>
      </c>
      <c r="W766" s="2" t="s">
        <v>58</v>
      </c>
      <c r="X766" s="2" t="s">
        <v>59</v>
      </c>
      <c r="Y766" s="1">
        <v>13.68</v>
      </c>
      <c r="Z766" s="1">
        <v>13.68</v>
      </c>
      <c r="AA766" s="1">
        <v>0</v>
      </c>
      <c r="AB766" s="1">
        <v>29.99</v>
      </c>
      <c r="AC766" s="1">
        <v>0</v>
      </c>
      <c r="AD766" s="1">
        <v>5.3629800000000003</v>
      </c>
      <c r="AE766" s="1">
        <v>43.67</v>
      </c>
      <c r="AF766" s="1">
        <v>753.65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634.78947000000005</v>
      </c>
      <c r="AR766" s="1">
        <v>634.78947000000005</v>
      </c>
      <c r="AS766" s="1">
        <v>158.69737000000001</v>
      </c>
      <c r="AT766" s="1">
        <v>22.217631799999999</v>
      </c>
      <c r="AU766" s="1">
        <v>0</v>
      </c>
      <c r="AV766" s="2" t="s">
        <v>69</v>
      </c>
      <c r="AW766" s="1">
        <v>-167.23500000000001</v>
      </c>
      <c r="AX766" s="1">
        <f>Table1[[#This Row],[Original Commissionable GMV]]-Table1[[#This Row],[Commission ]]-Table1[[#This Row],[Commission VAT]]-Table1[[#This Row],[FreeDeliveryFund]]</f>
        <v>453.87446820000008</v>
      </c>
      <c r="AY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M766" s="2"/>
    </row>
    <row r="767" spans="12:65" x14ac:dyDescent="0.25">
      <c r="L767" s="2">
        <v>504016</v>
      </c>
      <c r="M767" s="2" t="s">
        <v>52</v>
      </c>
      <c r="N767" s="2">
        <v>505839</v>
      </c>
      <c r="O767" t="s">
        <v>63</v>
      </c>
      <c r="P767">
        <v>3419936546</v>
      </c>
      <c r="Q767" s="5">
        <v>46047.922222222223</v>
      </c>
      <c r="R767" s="2" t="s">
        <v>62</v>
      </c>
      <c r="S767" s="2" t="s">
        <v>51</v>
      </c>
      <c r="T767" s="2" t="s">
        <v>55</v>
      </c>
      <c r="U767" s="2" t="s">
        <v>56</v>
      </c>
      <c r="V767" s="2" t="s">
        <v>57</v>
      </c>
      <c r="W767" s="2" t="s">
        <v>58</v>
      </c>
      <c r="X767" s="2" t="s">
        <v>59</v>
      </c>
      <c r="Y767" s="1">
        <v>897.92</v>
      </c>
      <c r="Z767" s="1">
        <v>897.92</v>
      </c>
      <c r="AA767" s="1">
        <v>7</v>
      </c>
      <c r="AB767" s="1">
        <v>29.99</v>
      </c>
      <c r="AC767" s="1">
        <v>0</v>
      </c>
      <c r="AD767" s="1">
        <v>114.81350999999999</v>
      </c>
      <c r="AE767" s="1">
        <v>934.91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787.64912000000004</v>
      </c>
      <c r="AR767" s="1">
        <v>787.64912000000004</v>
      </c>
      <c r="AS767" s="1">
        <v>196.91228000000001</v>
      </c>
      <c r="AT767" s="1">
        <v>27.567719199999999</v>
      </c>
      <c r="AU767" s="1">
        <v>27.99</v>
      </c>
      <c r="AV767" s="2" t="s">
        <v>60</v>
      </c>
      <c r="AW767" s="1">
        <v>645.45000000000005</v>
      </c>
      <c r="AX767" s="1">
        <f>Table1[[#This Row],[Original Commissionable GMV]]-Table1[[#This Row],[Commission ]]-Table1[[#This Row],[Commission VAT]]-Table1[[#This Row],[FreeDeliveryFund]]</f>
        <v>535.17912079999996</v>
      </c>
      <c r="AY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M767" s="2"/>
    </row>
    <row r="768" spans="12:65" x14ac:dyDescent="0.25">
      <c r="L768" s="2">
        <v>504016</v>
      </c>
      <c r="M768" s="2" t="s">
        <v>52</v>
      </c>
      <c r="N768" s="2">
        <v>505837</v>
      </c>
      <c r="O768" t="s">
        <v>53</v>
      </c>
      <c r="P768">
        <v>3419941394</v>
      </c>
      <c r="Q768" s="5">
        <v>46047.924444444441</v>
      </c>
      <c r="R768" s="2" t="s">
        <v>54</v>
      </c>
      <c r="S768" s="2" t="s">
        <v>51</v>
      </c>
      <c r="T768" s="2" t="s">
        <v>55</v>
      </c>
      <c r="U768" s="2" t="s">
        <v>59</v>
      </c>
      <c r="V768" s="2" t="s">
        <v>57</v>
      </c>
      <c r="W768" s="2" t="s">
        <v>58</v>
      </c>
      <c r="X768" s="2" t="s">
        <v>59</v>
      </c>
      <c r="Y768" s="1">
        <v>389.99</v>
      </c>
      <c r="Z768" s="1">
        <v>389.99</v>
      </c>
      <c r="AA768" s="1">
        <v>31.99</v>
      </c>
      <c r="AB768" s="1">
        <v>19.5</v>
      </c>
      <c r="AC768" s="1">
        <v>0</v>
      </c>
      <c r="AD768" s="1">
        <v>54.216839999999998</v>
      </c>
      <c r="AE768" s="1">
        <v>441.48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6.8248249999999997</v>
      </c>
      <c r="AP768" s="1">
        <v>0.95547550000000003</v>
      </c>
      <c r="AQ768" s="1">
        <v>342.09649000000002</v>
      </c>
      <c r="AR768" s="1">
        <v>342.09649000000002</v>
      </c>
      <c r="AS768" s="1">
        <v>85.524119999999996</v>
      </c>
      <c r="AT768" s="1">
        <v>11.9733768</v>
      </c>
      <c r="AU768" s="1">
        <v>0</v>
      </c>
      <c r="AV768" s="2" t="s">
        <v>69</v>
      </c>
      <c r="AW768" s="1">
        <v>284.71199999999999</v>
      </c>
      <c r="AX768" s="1">
        <f>Table1[[#This Row],[Original Commissionable GMV]]-Table1[[#This Row],[Commission ]]-Table1[[#This Row],[Commission VAT]]-Table1[[#This Row],[FreeDeliveryFund]]</f>
        <v>244.59899320000002</v>
      </c>
      <c r="AY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M768" s="2"/>
    </row>
    <row r="769" spans="12:65" x14ac:dyDescent="0.25">
      <c r="L769" s="2">
        <v>504016</v>
      </c>
      <c r="M769" s="2" t="s">
        <v>52</v>
      </c>
      <c r="N769" s="2">
        <v>505839</v>
      </c>
      <c r="O769" t="s">
        <v>53</v>
      </c>
      <c r="P769">
        <v>3420029186</v>
      </c>
      <c r="Q769" s="5">
        <v>46047.973553240743</v>
      </c>
      <c r="R769" s="2" t="s">
        <v>54</v>
      </c>
      <c r="S769" s="2" t="s">
        <v>51</v>
      </c>
      <c r="T769" s="2" t="s">
        <v>55</v>
      </c>
      <c r="U769" s="2" t="s">
        <v>59</v>
      </c>
      <c r="V769" s="2" t="s">
        <v>57</v>
      </c>
      <c r="W769" s="2" t="s">
        <v>58</v>
      </c>
      <c r="X769" s="2" t="s">
        <v>59</v>
      </c>
      <c r="Y769" s="1">
        <v>529.98</v>
      </c>
      <c r="Z769" s="1">
        <v>529.98</v>
      </c>
      <c r="AA769" s="1">
        <v>9</v>
      </c>
      <c r="AB769" s="1">
        <v>26.5</v>
      </c>
      <c r="AC769" s="1">
        <v>0</v>
      </c>
      <c r="AD769" s="1">
        <v>69.444909999999993</v>
      </c>
      <c r="AE769" s="1">
        <v>565.48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9.2746499999999994</v>
      </c>
      <c r="AP769" s="1">
        <v>1.298451</v>
      </c>
      <c r="AQ769" s="1">
        <v>464.89474000000001</v>
      </c>
      <c r="AR769" s="1">
        <v>464.89474000000001</v>
      </c>
      <c r="AS769" s="1">
        <v>116.22369</v>
      </c>
      <c r="AT769" s="1">
        <v>16.271316599999999</v>
      </c>
      <c r="AU769" s="1">
        <v>32.99</v>
      </c>
      <c r="AV769" s="2" t="s">
        <v>60</v>
      </c>
      <c r="AW769" s="1">
        <v>353.92200000000003</v>
      </c>
      <c r="AX769" s="1">
        <f>Table1[[#This Row],[Original Commissionable GMV]]-Table1[[#This Row],[Commission ]]-Table1[[#This Row],[Commission VAT]]-Table1[[#This Row],[FreeDeliveryFund]]</f>
        <v>299.40973340000005</v>
      </c>
      <c r="AY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M769" s="2"/>
    </row>
    <row r="770" spans="12:65" x14ac:dyDescent="0.25">
      <c r="L770" s="2">
        <v>504016</v>
      </c>
      <c r="M770" s="2" t="s">
        <v>52</v>
      </c>
      <c r="N770" s="2">
        <v>505839</v>
      </c>
      <c r="O770" t="s">
        <v>63</v>
      </c>
      <c r="P770">
        <v>3420552259</v>
      </c>
      <c r="Q770" s="5">
        <v>46048.513622685183</v>
      </c>
      <c r="R770" s="2" t="s">
        <v>54</v>
      </c>
      <c r="S770" s="2" t="s">
        <v>51</v>
      </c>
      <c r="T770" s="2" t="s">
        <v>55</v>
      </c>
      <c r="U770" s="2" t="s">
        <v>56</v>
      </c>
      <c r="V770" s="2" t="s">
        <v>57</v>
      </c>
      <c r="W770" s="2" t="s">
        <v>58</v>
      </c>
      <c r="X770" s="2" t="s">
        <v>59</v>
      </c>
      <c r="Y770" s="1">
        <v>844</v>
      </c>
      <c r="Z770" s="1">
        <v>844</v>
      </c>
      <c r="AA770" s="1">
        <v>7</v>
      </c>
      <c r="AB770" s="1">
        <v>29.99</v>
      </c>
      <c r="AC770" s="1">
        <v>0</v>
      </c>
      <c r="AD770" s="1">
        <v>108.19175</v>
      </c>
      <c r="AE770" s="1">
        <v>880.99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14.77</v>
      </c>
      <c r="AP770" s="1">
        <v>2.0678000000000001</v>
      </c>
      <c r="AQ770" s="1">
        <v>740.35087999999996</v>
      </c>
      <c r="AR770" s="1">
        <v>740.35087999999996</v>
      </c>
      <c r="AS770" s="1">
        <v>185.08771999999999</v>
      </c>
      <c r="AT770" s="1">
        <v>25.912280800000001</v>
      </c>
      <c r="AU770" s="1">
        <v>28.99</v>
      </c>
      <c r="AV770" s="2" t="s">
        <v>60</v>
      </c>
      <c r="AW770" s="1">
        <v>587.17200000000003</v>
      </c>
      <c r="AX770" s="1">
        <f>Table1[[#This Row],[Original Commissionable GMV]]-Table1[[#This Row],[Commission ]]-Table1[[#This Row],[Commission VAT]]-Table1[[#This Row],[FreeDeliveryFund]]</f>
        <v>500.3608792</v>
      </c>
      <c r="AY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M770" s="2"/>
    </row>
    <row r="771" spans="12:65" x14ac:dyDescent="0.25">
      <c r="L771" s="2">
        <v>504016</v>
      </c>
      <c r="M771" s="2" t="s">
        <v>52</v>
      </c>
      <c r="N771" s="2">
        <v>505839</v>
      </c>
      <c r="O771" t="s">
        <v>53</v>
      </c>
      <c r="P771">
        <v>3420667998</v>
      </c>
      <c r="Q771" s="5">
        <v>46048.563472222224</v>
      </c>
      <c r="R771" s="2" t="s">
        <v>54</v>
      </c>
      <c r="S771" s="2" t="s">
        <v>51</v>
      </c>
      <c r="T771" s="2" t="s">
        <v>55</v>
      </c>
      <c r="U771" s="2" t="s">
        <v>59</v>
      </c>
      <c r="V771" s="2" t="s">
        <v>57</v>
      </c>
      <c r="W771" s="2" t="s">
        <v>58</v>
      </c>
      <c r="X771" s="2" t="s">
        <v>59</v>
      </c>
      <c r="Y771" s="1">
        <v>784.65</v>
      </c>
      <c r="Z771" s="1">
        <v>784.65</v>
      </c>
      <c r="AA771" s="1">
        <v>9</v>
      </c>
      <c r="AB771" s="1">
        <v>29.99</v>
      </c>
      <c r="AC771" s="1">
        <v>0</v>
      </c>
      <c r="AD771" s="1">
        <v>101.14877</v>
      </c>
      <c r="AE771" s="1">
        <v>823.64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30</v>
      </c>
      <c r="AN771" s="1">
        <v>4.2</v>
      </c>
      <c r="AO771" s="1">
        <v>13.731375</v>
      </c>
      <c r="AP771" s="1">
        <v>1.9223924999999999</v>
      </c>
      <c r="AQ771" s="1">
        <v>688.28947000000005</v>
      </c>
      <c r="AR771" s="1">
        <v>688.28947000000005</v>
      </c>
      <c r="AS771" s="1">
        <v>172.07237000000001</v>
      </c>
      <c r="AT771" s="1">
        <v>24.090131800000002</v>
      </c>
      <c r="AU771" s="1">
        <v>0</v>
      </c>
      <c r="AV771" s="2" t="s">
        <v>69</v>
      </c>
      <c r="AW771" s="1">
        <v>538.63400000000001</v>
      </c>
      <c r="AX771" s="1">
        <f>Table1[[#This Row],[Original Commissionable GMV]]-Table1[[#This Row],[Commission ]]-Table1[[#This Row],[Commission VAT]]-Table1[[#This Row],[FreeDeliveryFund]]</f>
        <v>492.12696820000008</v>
      </c>
      <c r="AY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M771" s="2"/>
    </row>
    <row r="772" spans="12:65" x14ac:dyDescent="0.25">
      <c r="L772" s="2">
        <v>504016</v>
      </c>
      <c r="M772" s="2" t="s">
        <v>52</v>
      </c>
      <c r="N772" s="2">
        <v>505839</v>
      </c>
      <c r="O772" t="s">
        <v>53</v>
      </c>
      <c r="P772">
        <v>3420715911</v>
      </c>
      <c r="Q772" s="5">
        <v>46048.583703703705</v>
      </c>
      <c r="R772" s="2" t="s">
        <v>54</v>
      </c>
      <c r="S772" s="2" t="s">
        <v>51</v>
      </c>
      <c r="T772" s="2" t="s">
        <v>55</v>
      </c>
      <c r="U772" s="2" t="s">
        <v>59</v>
      </c>
      <c r="V772" s="2" t="s">
        <v>57</v>
      </c>
      <c r="W772" s="2" t="s">
        <v>58</v>
      </c>
      <c r="X772" s="2" t="s">
        <v>59</v>
      </c>
      <c r="Y772" s="1">
        <v>124.94</v>
      </c>
      <c r="Z772" s="1">
        <v>156.44</v>
      </c>
      <c r="AA772" s="1">
        <v>0</v>
      </c>
      <c r="AB772" s="1">
        <v>10.5</v>
      </c>
      <c r="AC772" s="1">
        <v>0</v>
      </c>
      <c r="AD772" s="1">
        <v>20.5014</v>
      </c>
      <c r="AE772" s="1">
        <v>135.44</v>
      </c>
      <c r="AF772" s="1">
        <v>188.99</v>
      </c>
      <c r="AG772" s="1">
        <v>0</v>
      </c>
      <c r="AH772" s="1">
        <v>31.5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2.1864499999999998</v>
      </c>
      <c r="AP772" s="1">
        <v>0.30610300000000001</v>
      </c>
      <c r="AQ772" s="1">
        <v>156.57017999999999</v>
      </c>
      <c r="AR772" s="1">
        <v>156.57017999999999</v>
      </c>
      <c r="AS772" s="1">
        <v>39.14255</v>
      </c>
      <c r="AT772" s="1">
        <v>5.4799569999999997</v>
      </c>
      <c r="AU772" s="1">
        <v>0</v>
      </c>
      <c r="AV772" s="2" t="s">
        <v>69</v>
      </c>
      <c r="AW772" s="1">
        <v>77.825000000000003</v>
      </c>
      <c r="AX772" s="1">
        <f>Table1[[#This Row],[Original Commissionable GMV]]-Table1[[#This Row],[Commission ]]-Table1[[#This Row],[Commission VAT]]-Table1[[#This Row],[FreeDeliveryFund]]</f>
        <v>111.94767299999999</v>
      </c>
      <c r="AY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M772" s="2"/>
    </row>
    <row r="773" spans="12:65" x14ac:dyDescent="0.25">
      <c r="L773" s="2">
        <v>504016</v>
      </c>
      <c r="M773" s="2" t="s">
        <v>52</v>
      </c>
      <c r="N773" s="2">
        <v>505839</v>
      </c>
      <c r="O773" t="s">
        <v>53</v>
      </c>
      <c r="P773">
        <v>3420721373</v>
      </c>
      <c r="Q773" s="5">
        <v>46048.585995370369</v>
      </c>
      <c r="R773" s="2" t="s">
        <v>54</v>
      </c>
      <c r="S773" s="2" t="s">
        <v>51</v>
      </c>
      <c r="T773" s="2" t="s">
        <v>55</v>
      </c>
      <c r="U773" s="2" t="s">
        <v>59</v>
      </c>
      <c r="V773" s="2" t="s">
        <v>57</v>
      </c>
      <c r="W773" s="2" t="s">
        <v>58</v>
      </c>
      <c r="X773" s="2" t="s">
        <v>59</v>
      </c>
      <c r="Y773" s="1">
        <v>1139.95</v>
      </c>
      <c r="Z773" s="1">
        <v>1139.95</v>
      </c>
      <c r="AA773" s="1">
        <v>0</v>
      </c>
      <c r="AB773" s="1">
        <v>29.99</v>
      </c>
      <c r="AC773" s="1">
        <v>0</v>
      </c>
      <c r="AD773" s="1">
        <v>143.67684</v>
      </c>
      <c r="AE773" s="1">
        <v>1169.94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19.94912325</v>
      </c>
      <c r="AP773" s="1">
        <v>2.7928772550000001</v>
      </c>
      <c r="AQ773" s="1">
        <v>999.95614</v>
      </c>
      <c r="AR773" s="1">
        <v>999.95614</v>
      </c>
      <c r="AS773" s="1">
        <v>249.98903999999999</v>
      </c>
      <c r="AT773" s="1">
        <v>34.998465600000003</v>
      </c>
      <c r="AU773" s="1">
        <v>33.99</v>
      </c>
      <c r="AV773" s="2" t="s">
        <v>60</v>
      </c>
      <c r="AW773" s="1">
        <v>798.23</v>
      </c>
      <c r="AX773" s="1">
        <f>Table1[[#This Row],[Original Commissionable GMV]]-Table1[[#This Row],[Commission ]]-Table1[[#This Row],[Commission VAT]]-Table1[[#This Row],[FreeDeliveryFund]]</f>
        <v>680.97863440000003</v>
      </c>
      <c r="AY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M773" s="2"/>
    </row>
    <row r="774" spans="12:65" x14ac:dyDescent="0.25">
      <c r="L774" s="2">
        <v>504016</v>
      </c>
      <c r="M774" s="2" t="s">
        <v>52</v>
      </c>
      <c r="N774" s="2">
        <v>505839</v>
      </c>
      <c r="O774" t="s">
        <v>53</v>
      </c>
      <c r="P774">
        <v>3420797823</v>
      </c>
      <c r="Q774" s="5">
        <v>46048.618043981478</v>
      </c>
      <c r="R774" s="2" t="s">
        <v>54</v>
      </c>
      <c r="S774" s="2" t="s">
        <v>51</v>
      </c>
      <c r="T774" s="2" t="s">
        <v>55</v>
      </c>
      <c r="U774" s="2" t="s">
        <v>56</v>
      </c>
      <c r="V774" s="2" t="s">
        <v>57</v>
      </c>
      <c r="W774" s="2" t="s">
        <v>58</v>
      </c>
      <c r="X774" s="2" t="s">
        <v>59</v>
      </c>
      <c r="Y774" s="1">
        <v>532.48</v>
      </c>
      <c r="Z774" s="1">
        <v>563.98</v>
      </c>
      <c r="AA774" s="1">
        <v>0</v>
      </c>
      <c r="AB774" s="1">
        <v>28.2</v>
      </c>
      <c r="AC774" s="1">
        <v>0</v>
      </c>
      <c r="AD774" s="1">
        <v>72.723860000000002</v>
      </c>
      <c r="AE774" s="1">
        <v>560.67999999999995</v>
      </c>
      <c r="AG774" s="1">
        <v>0</v>
      </c>
      <c r="AH774" s="1">
        <v>31.5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9.3184000000000005</v>
      </c>
      <c r="AP774" s="1">
        <v>1.304576</v>
      </c>
      <c r="AQ774" s="1">
        <v>467.08771999999999</v>
      </c>
      <c r="AR774" s="1">
        <v>467.08771999999999</v>
      </c>
      <c r="AS774" s="1">
        <v>116.77193</v>
      </c>
      <c r="AT774" s="1">
        <v>16.348070199999999</v>
      </c>
      <c r="AU774" s="1">
        <v>30.99</v>
      </c>
      <c r="AV774" s="2" t="s">
        <v>60</v>
      </c>
      <c r="AW774" s="1">
        <v>357.74700000000001</v>
      </c>
      <c r="AX774" s="1">
        <f>Table1[[#This Row],[Original Commissionable GMV]]-Table1[[#This Row],[Commission ]]-Table1[[#This Row],[Commission VAT]]-Table1[[#This Row],[FreeDeliveryFund]]</f>
        <v>302.97771979999999</v>
      </c>
      <c r="AY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M774" s="2"/>
    </row>
    <row r="775" spans="12:65" x14ac:dyDescent="0.25">
      <c r="L775" s="2">
        <v>504016</v>
      </c>
      <c r="M775" s="2" t="s">
        <v>52</v>
      </c>
      <c r="N775" s="2">
        <v>505837</v>
      </c>
      <c r="O775" t="s">
        <v>53</v>
      </c>
      <c r="P775">
        <v>3420841909</v>
      </c>
      <c r="Q775" s="5">
        <v>46048.635833333334</v>
      </c>
      <c r="R775" s="2" t="s">
        <v>62</v>
      </c>
      <c r="S775" s="2" t="s">
        <v>51</v>
      </c>
      <c r="T775" s="2" t="s">
        <v>55</v>
      </c>
      <c r="U775" s="2" t="s">
        <v>59</v>
      </c>
      <c r="V775" s="2" t="s">
        <v>57</v>
      </c>
      <c r="W775" s="2" t="s">
        <v>58</v>
      </c>
      <c r="X775" s="2" t="s">
        <v>59</v>
      </c>
      <c r="Y775" s="1">
        <v>275.99</v>
      </c>
      <c r="Z775" s="1">
        <v>275.99</v>
      </c>
      <c r="AA775" s="1">
        <v>0</v>
      </c>
      <c r="AB775" s="1">
        <v>13.8</v>
      </c>
      <c r="AC775" s="1">
        <v>0</v>
      </c>
      <c r="AD775" s="1">
        <v>35.588250000000002</v>
      </c>
      <c r="AE775" s="1">
        <v>289.79000000000002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242.09648999999999</v>
      </c>
      <c r="AR775" s="1">
        <v>242.09648999999999</v>
      </c>
      <c r="AS775" s="1">
        <v>60.524120000000003</v>
      </c>
      <c r="AT775" s="1">
        <v>8.4733768000000005</v>
      </c>
      <c r="AU775" s="1">
        <v>30.99</v>
      </c>
      <c r="AV775" s="2" t="s">
        <v>60</v>
      </c>
      <c r="AW775" s="1">
        <v>176.00299999999999</v>
      </c>
      <c r="AX775" s="1">
        <f>Table1[[#This Row],[Original Commissionable GMV]]-Table1[[#This Row],[Commission ]]-Table1[[#This Row],[Commission VAT]]-Table1[[#This Row],[FreeDeliveryFund]]</f>
        <v>142.10899319999996</v>
      </c>
      <c r="AY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M775" s="2"/>
    </row>
    <row r="776" spans="12:65" x14ac:dyDescent="0.25">
      <c r="L776" s="2">
        <v>504016</v>
      </c>
      <c r="M776" s="2" t="s">
        <v>52</v>
      </c>
      <c r="N776" s="2">
        <v>505835</v>
      </c>
      <c r="O776" t="s">
        <v>63</v>
      </c>
      <c r="P776">
        <v>3420916683</v>
      </c>
      <c r="Q776" s="5">
        <v>46048.664375</v>
      </c>
      <c r="R776" s="2" t="s">
        <v>54</v>
      </c>
      <c r="S776" s="2" t="s">
        <v>51</v>
      </c>
      <c r="T776" s="2" t="s">
        <v>55</v>
      </c>
      <c r="U776" s="2" t="s">
        <v>56</v>
      </c>
      <c r="V776" s="2" t="s">
        <v>57</v>
      </c>
      <c r="W776" s="2" t="s">
        <v>58</v>
      </c>
      <c r="X776" s="2" t="s">
        <v>59</v>
      </c>
      <c r="Y776" s="1">
        <v>315.64999999999998</v>
      </c>
      <c r="Z776" s="1">
        <v>315.64999999999998</v>
      </c>
      <c r="AA776" s="1">
        <v>7</v>
      </c>
      <c r="AB776" s="1">
        <v>15.78</v>
      </c>
      <c r="AC776" s="1">
        <v>0</v>
      </c>
      <c r="AD776" s="1">
        <v>41.561579999999999</v>
      </c>
      <c r="AE776" s="1">
        <v>338.43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5.5238750000000003</v>
      </c>
      <c r="AP776" s="1">
        <v>0.77334250000000004</v>
      </c>
      <c r="AQ776" s="1">
        <v>276.88596000000001</v>
      </c>
      <c r="AR776" s="1">
        <v>276.88596000000001</v>
      </c>
      <c r="AS776" s="1">
        <v>69.221490000000003</v>
      </c>
      <c r="AT776" s="1">
        <v>9.6910086</v>
      </c>
      <c r="AU776" s="1">
        <v>26.99</v>
      </c>
      <c r="AV776" s="2" t="s">
        <v>60</v>
      </c>
      <c r="AW776" s="1">
        <v>203.45</v>
      </c>
      <c r="AX776" s="1">
        <f>Table1[[#This Row],[Original Commissionable GMV]]-Table1[[#This Row],[Commission ]]-Table1[[#This Row],[Commission VAT]]-Table1[[#This Row],[FreeDeliveryFund]]</f>
        <v>170.98346139999998</v>
      </c>
      <c r="AY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M776" s="2"/>
    </row>
    <row r="777" spans="12:65" x14ac:dyDescent="0.25">
      <c r="L777" s="2">
        <v>504016</v>
      </c>
      <c r="M777" s="2" t="s">
        <v>52</v>
      </c>
      <c r="N777" s="2">
        <v>505839</v>
      </c>
      <c r="O777" t="s">
        <v>53</v>
      </c>
      <c r="P777">
        <v>3420979122</v>
      </c>
      <c r="Q777" s="5">
        <v>46048.686886574076</v>
      </c>
      <c r="R777" s="2" t="s">
        <v>62</v>
      </c>
      <c r="S777" s="2" t="s">
        <v>51</v>
      </c>
      <c r="T777" s="2" t="s">
        <v>55</v>
      </c>
      <c r="U777" s="2" t="s">
        <v>59</v>
      </c>
      <c r="V777" s="2" t="s">
        <v>57</v>
      </c>
      <c r="W777" s="2" t="s">
        <v>58</v>
      </c>
      <c r="X777" s="2" t="s">
        <v>59</v>
      </c>
      <c r="Y777" s="1">
        <v>509.82</v>
      </c>
      <c r="Z777" s="1">
        <v>509.82</v>
      </c>
      <c r="AA777" s="1">
        <v>32.99</v>
      </c>
      <c r="AB777" s="1">
        <v>25.49</v>
      </c>
      <c r="AC777" s="1">
        <v>0</v>
      </c>
      <c r="AD777" s="1">
        <v>69.791229999999999</v>
      </c>
      <c r="AE777" s="1">
        <v>568.29999999999995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447.21053000000001</v>
      </c>
      <c r="AR777" s="1">
        <v>447.21053000000001</v>
      </c>
      <c r="AS777" s="1">
        <v>111.80262999999999</v>
      </c>
      <c r="AT777" s="1">
        <v>15.6523682</v>
      </c>
      <c r="AU777" s="1">
        <v>0</v>
      </c>
      <c r="AV777" s="2" t="s">
        <v>69</v>
      </c>
      <c r="AW777" s="1">
        <v>382.36500000000001</v>
      </c>
      <c r="AX777" s="1">
        <f>Table1[[#This Row],[Original Commissionable GMV]]-Table1[[#This Row],[Commission ]]-Table1[[#This Row],[Commission VAT]]-Table1[[#This Row],[FreeDeliveryFund]]</f>
        <v>319.75553180000003</v>
      </c>
      <c r="AY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M777" s="2"/>
    </row>
    <row r="778" spans="12:65" x14ac:dyDescent="0.25">
      <c r="L778" s="2">
        <v>504016</v>
      </c>
      <c r="M778" s="2" t="s">
        <v>52</v>
      </c>
      <c r="N778" s="2">
        <v>505835</v>
      </c>
      <c r="O778" t="s">
        <v>53</v>
      </c>
      <c r="P778">
        <v>3420982201</v>
      </c>
      <c r="Q778" s="5">
        <v>46048.687939814816</v>
      </c>
      <c r="R778" s="2" t="s">
        <v>62</v>
      </c>
      <c r="S778" s="2" t="s">
        <v>51</v>
      </c>
      <c r="T778" s="2" t="s">
        <v>55</v>
      </c>
      <c r="U778" s="2" t="s">
        <v>59</v>
      </c>
      <c r="V778" s="2" t="s">
        <v>57</v>
      </c>
      <c r="W778" s="2" t="s">
        <v>58</v>
      </c>
      <c r="X778" s="2" t="s">
        <v>59</v>
      </c>
      <c r="Y778" s="1">
        <v>635.16999999999996</v>
      </c>
      <c r="Z778" s="1">
        <v>635.16999999999996</v>
      </c>
      <c r="AA778" s="1">
        <v>30.99</v>
      </c>
      <c r="AB778" s="1">
        <v>29.99</v>
      </c>
      <c r="AC778" s="1">
        <v>0</v>
      </c>
      <c r="AD778" s="1">
        <v>85.492109999999997</v>
      </c>
      <c r="AE778" s="1">
        <v>696.15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557.16666999999995</v>
      </c>
      <c r="AR778" s="1">
        <v>557.16666999999995</v>
      </c>
      <c r="AS778" s="1">
        <v>139.29167000000001</v>
      </c>
      <c r="AT778" s="1">
        <v>19.500833799999999</v>
      </c>
      <c r="AU778" s="1">
        <v>0</v>
      </c>
      <c r="AV778" s="2" t="s">
        <v>69</v>
      </c>
      <c r="AW778" s="1">
        <v>476.37700000000001</v>
      </c>
      <c r="AX778" s="1">
        <f>Table1[[#This Row],[Original Commissionable GMV]]-Table1[[#This Row],[Commission ]]-Table1[[#This Row],[Commission VAT]]-Table1[[#This Row],[FreeDeliveryFund]]</f>
        <v>398.37416619999993</v>
      </c>
      <c r="AY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M778" s="2"/>
    </row>
    <row r="779" spans="12:65" x14ac:dyDescent="0.25">
      <c r="L779" s="2">
        <v>504016</v>
      </c>
      <c r="M779" s="2" t="s">
        <v>52</v>
      </c>
      <c r="N779" s="2">
        <v>505837</v>
      </c>
      <c r="O779" t="s">
        <v>65</v>
      </c>
      <c r="P779">
        <v>3420986096</v>
      </c>
      <c r="Q779" s="5">
        <v>46048.68922453704</v>
      </c>
      <c r="R779" s="2" t="s">
        <v>54</v>
      </c>
      <c r="S779" s="2" t="s">
        <v>51</v>
      </c>
      <c r="T779" s="2" t="s">
        <v>55</v>
      </c>
      <c r="U779" s="2" t="s">
        <v>56</v>
      </c>
      <c r="V779" s="2" t="s">
        <v>57</v>
      </c>
      <c r="W779" s="2" t="s">
        <v>58</v>
      </c>
      <c r="X779" s="2" t="s">
        <v>59</v>
      </c>
      <c r="Y779" s="1">
        <v>1291.96</v>
      </c>
      <c r="Z779" s="1">
        <v>1291.96</v>
      </c>
      <c r="AA779" s="1">
        <v>28.99</v>
      </c>
      <c r="AB779" s="1">
        <v>29.99</v>
      </c>
      <c r="AC779" s="1">
        <v>0</v>
      </c>
      <c r="AD779" s="1">
        <v>165.90491</v>
      </c>
      <c r="AE779" s="1">
        <v>1350.94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30</v>
      </c>
      <c r="AN779" s="1">
        <v>4.2</v>
      </c>
      <c r="AO779" s="1">
        <v>22.609298249999998</v>
      </c>
      <c r="AP779" s="1">
        <v>3.1653017550000002</v>
      </c>
      <c r="AQ779" s="1">
        <v>1133.2982500000001</v>
      </c>
      <c r="AR779" s="1">
        <v>1133.2982500000001</v>
      </c>
      <c r="AS779" s="1">
        <v>283.32456000000002</v>
      </c>
      <c r="AT779" s="1">
        <v>39.665438399999999</v>
      </c>
      <c r="AU779" s="1">
        <v>0</v>
      </c>
      <c r="AV779" s="2" t="s">
        <v>69</v>
      </c>
      <c r="AW779" s="1">
        <v>908.995</v>
      </c>
      <c r="AX779" s="1">
        <f>Table1[[#This Row],[Original Commissionable GMV]]-Table1[[#This Row],[Commission ]]-Table1[[#This Row],[Commission VAT]]-Table1[[#This Row],[FreeDeliveryFund]]</f>
        <v>810.30825160000006</v>
      </c>
      <c r="AY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M779" s="2"/>
    </row>
    <row r="780" spans="12:65" x14ac:dyDescent="0.25">
      <c r="L780" s="2">
        <v>504016</v>
      </c>
      <c r="M780" s="2" t="s">
        <v>52</v>
      </c>
      <c r="N780" s="2">
        <v>505837</v>
      </c>
      <c r="O780" t="s">
        <v>65</v>
      </c>
      <c r="P780">
        <v>3420995255</v>
      </c>
      <c r="Q780" s="5">
        <v>46048.692349537036</v>
      </c>
      <c r="R780" s="2" t="s">
        <v>54</v>
      </c>
      <c r="S780" s="2" t="s">
        <v>51</v>
      </c>
      <c r="T780" s="2" t="s">
        <v>55</v>
      </c>
      <c r="U780" s="2" t="s">
        <v>59</v>
      </c>
      <c r="V780" s="2" t="s">
        <v>57</v>
      </c>
      <c r="W780" s="2" t="s">
        <v>58</v>
      </c>
      <c r="X780" s="2" t="s">
        <v>59</v>
      </c>
      <c r="Y780" s="1">
        <v>355</v>
      </c>
      <c r="Z780" s="1">
        <v>355</v>
      </c>
      <c r="AA780" s="1">
        <v>0</v>
      </c>
      <c r="AB780" s="1">
        <v>17.75</v>
      </c>
      <c r="AC780" s="1">
        <v>0</v>
      </c>
      <c r="AD780" s="1">
        <v>45.776319999999998</v>
      </c>
      <c r="AE780" s="1">
        <v>372.75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6.2125000000000004</v>
      </c>
      <c r="AP780" s="1">
        <v>0.86975000000000002</v>
      </c>
      <c r="AQ780" s="1">
        <v>311.40350999999998</v>
      </c>
      <c r="AR780" s="1">
        <v>311.40350999999998</v>
      </c>
      <c r="AS780" s="1">
        <v>77.850880000000004</v>
      </c>
      <c r="AT780" s="1">
        <v>10.8991232</v>
      </c>
      <c r="AU780" s="1">
        <v>28.99</v>
      </c>
      <c r="AV780" s="2" t="s">
        <v>60</v>
      </c>
      <c r="AW780" s="1">
        <v>230.178</v>
      </c>
      <c r="AX780" s="1">
        <f>Table1[[#This Row],[Original Commissionable GMV]]-Table1[[#This Row],[Commission ]]-Table1[[#This Row],[Commission VAT]]-Table1[[#This Row],[FreeDeliveryFund]]</f>
        <v>193.66350679999996</v>
      </c>
      <c r="AY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M780" s="2"/>
    </row>
    <row r="781" spans="12:65" x14ac:dyDescent="0.25">
      <c r="L781" s="2">
        <v>504016</v>
      </c>
      <c r="M781" s="2" t="s">
        <v>52</v>
      </c>
      <c r="N781" s="2">
        <v>505835</v>
      </c>
      <c r="O781" t="s">
        <v>63</v>
      </c>
      <c r="P781">
        <v>3421019570</v>
      </c>
      <c r="Q781" s="5">
        <v>46048.700335648151</v>
      </c>
      <c r="R781" s="2" t="s">
        <v>62</v>
      </c>
      <c r="S781" s="2" t="s">
        <v>51</v>
      </c>
      <c r="T781" s="2" t="s">
        <v>55</v>
      </c>
      <c r="U781" s="2" t="s">
        <v>59</v>
      </c>
      <c r="V781" s="2" t="s">
        <v>57</v>
      </c>
      <c r="W781" s="2" t="s">
        <v>58</v>
      </c>
      <c r="X781" s="2" t="s">
        <v>59</v>
      </c>
      <c r="Y781" s="1">
        <v>225.99</v>
      </c>
      <c r="Z781" s="1">
        <v>225.99</v>
      </c>
      <c r="AA781" s="1">
        <v>26.99</v>
      </c>
      <c r="AB781" s="1">
        <v>11.3</v>
      </c>
      <c r="AC781" s="1">
        <v>0</v>
      </c>
      <c r="AD781" s="1">
        <v>32.455440000000003</v>
      </c>
      <c r="AE781" s="1">
        <v>264.27999999999997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198.23684</v>
      </c>
      <c r="AR781" s="1">
        <v>198.23684</v>
      </c>
      <c r="AS781" s="1">
        <v>49.55921</v>
      </c>
      <c r="AT781" s="1">
        <v>6.9382894000000004</v>
      </c>
      <c r="AU781" s="1">
        <v>0</v>
      </c>
      <c r="AV781" s="2" t="s">
        <v>69</v>
      </c>
      <c r="AW781" s="1">
        <v>169.49299999999999</v>
      </c>
      <c r="AX781" s="1">
        <f>Table1[[#This Row],[Original Commissionable GMV]]-Table1[[#This Row],[Commission ]]-Table1[[#This Row],[Commission VAT]]-Table1[[#This Row],[FreeDeliveryFund]]</f>
        <v>141.73934059999999</v>
      </c>
      <c r="AY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M781" s="2"/>
    </row>
    <row r="782" spans="12:65" x14ac:dyDescent="0.25">
      <c r="L782" s="2">
        <v>504016</v>
      </c>
      <c r="M782" s="2" t="s">
        <v>52</v>
      </c>
      <c r="N782" s="2">
        <v>505839</v>
      </c>
      <c r="O782" t="s">
        <v>63</v>
      </c>
      <c r="P782">
        <v>3421065100</v>
      </c>
      <c r="Q782" s="5">
        <v>46048.714756944442</v>
      </c>
      <c r="R782" s="2" t="s">
        <v>54</v>
      </c>
      <c r="S782" s="2" t="s">
        <v>51</v>
      </c>
      <c r="T782" s="2" t="s">
        <v>55</v>
      </c>
      <c r="U782" s="2" t="s">
        <v>56</v>
      </c>
      <c r="V782" s="2" t="s">
        <v>57</v>
      </c>
      <c r="W782" s="2" t="s">
        <v>58</v>
      </c>
      <c r="X782" s="2" t="s">
        <v>59</v>
      </c>
      <c r="Y782" s="1">
        <v>390.33</v>
      </c>
      <c r="Z782" s="1">
        <v>390.33</v>
      </c>
      <c r="AA782" s="1">
        <v>27.99</v>
      </c>
      <c r="AB782" s="1">
        <v>19.52</v>
      </c>
      <c r="AC782" s="1">
        <v>0</v>
      </c>
      <c r="AD782" s="1">
        <v>53.769820000000003</v>
      </c>
      <c r="AE782" s="1">
        <v>437.84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6.830775</v>
      </c>
      <c r="AP782" s="1">
        <v>0.95630850000000001</v>
      </c>
      <c r="AQ782" s="1">
        <v>342.39474000000001</v>
      </c>
      <c r="AR782" s="1">
        <v>342.39474000000001</v>
      </c>
      <c r="AS782" s="1">
        <v>85.598690000000005</v>
      </c>
      <c r="AT782" s="1">
        <v>11.983816600000001</v>
      </c>
      <c r="AU782" s="1">
        <v>0</v>
      </c>
      <c r="AV782" s="2" t="s">
        <v>69</v>
      </c>
      <c r="AW782" s="1">
        <v>284.95999999999998</v>
      </c>
      <c r="AX782" s="1">
        <f>Table1[[#This Row],[Original Commissionable GMV]]-Table1[[#This Row],[Commission ]]-Table1[[#This Row],[Commission VAT]]-Table1[[#This Row],[FreeDeliveryFund]]</f>
        <v>244.81223340000003</v>
      </c>
      <c r="AY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M782" s="2"/>
    </row>
    <row r="783" spans="12:65" x14ac:dyDescent="0.25">
      <c r="L783" s="2">
        <v>504016</v>
      </c>
      <c r="M783" s="2" t="s">
        <v>52</v>
      </c>
      <c r="N783" s="2">
        <v>505837</v>
      </c>
      <c r="O783" t="s">
        <v>53</v>
      </c>
      <c r="P783">
        <v>3421073378</v>
      </c>
      <c r="Q783" s="5">
        <v>46048.717303240737</v>
      </c>
      <c r="R783" s="2" t="s">
        <v>54</v>
      </c>
      <c r="S783" s="2" t="s">
        <v>51</v>
      </c>
      <c r="T783" s="2" t="s">
        <v>55</v>
      </c>
      <c r="U783" s="2" t="s">
        <v>56</v>
      </c>
      <c r="V783" s="2" t="s">
        <v>57</v>
      </c>
      <c r="W783" s="2" t="s">
        <v>58</v>
      </c>
      <c r="X783" s="2" t="s">
        <v>59</v>
      </c>
      <c r="Y783" s="1">
        <v>778.97</v>
      </c>
      <c r="Z783" s="1">
        <v>778.97</v>
      </c>
      <c r="AA783" s="1">
        <v>9</v>
      </c>
      <c r="AB783" s="1">
        <v>29.99</v>
      </c>
      <c r="AC783" s="1">
        <v>0</v>
      </c>
      <c r="AD783" s="1">
        <v>100.45123</v>
      </c>
      <c r="AE783" s="1">
        <v>817.96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13.631975000000001</v>
      </c>
      <c r="AP783" s="1">
        <v>1.9084764999999999</v>
      </c>
      <c r="AQ783" s="1">
        <v>683.30701999999997</v>
      </c>
      <c r="AR783" s="1">
        <v>683.30701999999997</v>
      </c>
      <c r="AS783" s="1">
        <v>170.82676000000001</v>
      </c>
      <c r="AT783" s="1">
        <v>23.9157464</v>
      </c>
      <c r="AU783" s="1">
        <v>30.99</v>
      </c>
      <c r="AV783" s="2" t="s">
        <v>60</v>
      </c>
      <c r="AW783" s="1">
        <v>537.697</v>
      </c>
      <c r="AX783" s="1">
        <f>Table1[[#This Row],[Original Commissionable GMV]]-Table1[[#This Row],[Commission ]]-Table1[[#This Row],[Commission VAT]]-Table1[[#This Row],[FreeDeliveryFund]]</f>
        <v>457.57451359999993</v>
      </c>
      <c r="AY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M783" s="2"/>
    </row>
    <row r="784" spans="12:65" x14ac:dyDescent="0.25">
      <c r="L784" s="2">
        <v>504016</v>
      </c>
      <c r="M784" s="2" t="s">
        <v>52</v>
      </c>
      <c r="N784" s="2">
        <v>505839</v>
      </c>
      <c r="O784" t="s">
        <v>53</v>
      </c>
      <c r="P784">
        <v>3421087147</v>
      </c>
      <c r="Q784" s="5">
        <v>46048.721539351849</v>
      </c>
      <c r="R784" s="2" t="s">
        <v>54</v>
      </c>
      <c r="S784" s="2" t="s">
        <v>51</v>
      </c>
      <c r="T784" s="2" t="s">
        <v>55</v>
      </c>
      <c r="U784" s="2" t="s">
        <v>59</v>
      </c>
      <c r="V784" s="2" t="s">
        <v>57</v>
      </c>
      <c r="W784" s="2" t="s">
        <v>58</v>
      </c>
      <c r="X784" s="2" t="s">
        <v>59</v>
      </c>
      <c r="Y784" s="1">
        <v>639.99</v>
      </c>
      <c r="Z784" s="1">
        <v>639.99</v>
      </c>
      <c r="AA784" s="1">
        <v>31.99</v>
      </c>
      <c r="AB784" s="1">
        <v>29.99</v>
      </c>
      <c r="AC784" s="1">
        <v>0</v>
      </c>
      <c r="AD784" s="1">
        <v>86.20684</v>
      </c>
      <c r="AE784" s="1">
        <v>701.97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11.199825000000001</v>
      </c>
      <c r="AP784" s="1">
        <v>1.5679755</v>
      </c>
      <c r="AQ784" s="1">
        <v>561.39473999999996</v>
      </c>
      <c r="AR784" s="1">
        <v>561.39473999999996</v>
      </c>
      <c r="AS784" s="1">
        <v>140.34869</v>
      </c>
      <c r="AT784" s="1">
        <v>19.6488166</v>
      </c>
      <c r="AU784" s="1">
        <v>0</v>
      </c>
      <c r="AV784" s="2" t="s">
        <v>69</v>
      </c>
      <c r="AW784" s="1">
        <v>467.22500000000002</v>
      </c>
      <c r="AX784" s="1">
        <f>Table1[[#This Row],[Original Commissionable GMV]]-Table1[[#This Row],[Commission ]]-Table1[[#This Row],[Commission VAT]]-Table1[[#This Row],[FreeDeliveryFund]]</f>
        <v>401.39723339999995</v>
      </c>
      <c r="AY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M784" s="2"/>
    </row>
    <row r="785" spans="12:65" x14ac:dyDescent="0.25">
      <c r="L785" s="2">
        <v>504016</v>
      </c>
      <c r="M785" s="2" t="s">
        <v>52</v>
      </c>
      <c r="N785" s="2">
        <v>505835</v>
      </c>
      <c r="O785" t="s">
        <v>53</v>
      </c>
      <c r="P785">
        <v>3421096752</v>
      </c>
      <c r="Q785" s="5">
        <v>46048.724456018521</v>
      </c>
      <c r="R785" s="2" t="s">
        <v>54</v>
      </c>
      <c r="S785" s="2" t="s">
        <v>51</v>
      </c>
      <c r="T785" s="2" t="s">
        <v>55</v>
      </c>
      <c r="U785" s="2" t="s">
        <v>59</v>
      </c>
      <c r="V785" s="2" t="s">
        <v>57</v>
      </c>
      <c r="W785" s="2" t="s">
        <v>58</v>
      </c>
      <c r="X785" s="2" t="s">
        <v>59</v>
      </c>
      <c r="Y785" s="1">
        <v>659.98</v>
      </c>
      <c r="Z785" s="1">
        <v>659.98</v>
      </c>
      <c r="AA785" s="1">
        <v>29.99</v>
      </c>
      <c r="AB785" s="1">
        <v>29.99</v>
      </c>
      <c r="AC785" s="1">
        <v>0</v>
      </c>
      <c r="AD785" s="1">
        <v>88.416139999999999</v>
      </c>
      <c r="AE785" s="1">
        <v>719.96</v>
      </c>
      <c r="AG785" s="1">
        <v>0</v>
      </c>
      <c r="AH785" s="1">
        <v>0</v>
      </c>
      <c r="AI785" s="1">
        <v>0</v>
      </c>
      <c r="AJ785" s="1">
        <v>137.55000000000001</v>
      </c>
      <c r="AK785" s="1">
        <v>0</v>
      </c>
      <c r="AL785" s="1">
        <v>0</v>
      </c>
      <c r="AM785" s="1">
        <v>0</v>
      </c>
      <c r="AN785" s="1">
        <v>0</v>
      </c>
      <c r="AO785" s="1">
        <v>11.54965</v>
      </c>
      <c r="AP785" s="1">
        <v>1.616951</v>
      </c>
      <c r="AQ785" s="1">
        <v>578.92981999999995</v>
      </c>
      <c r="AR785" s="1">
        <v>578.92981999999995</v>
      </c>
      <c r="AS785" s="1">
        <v>144.73246</v>
      </c>
      <c r="AT785" s="1">
        <v>20.262544399999999</v>
      </c>
      <c r="AU785" s="1">
        <v>0</v>
      </c>
      <c r="AV785" s="2" t="s">
        <v>69</v>
      </c>
      <c r="AW785" s="1">
        <v>481.81799999999998</v>
      </c>
      <c r="AX785" s="1">
        <f>Table1[[#This Row],[Original Commissionable GMV]]-Table1[[#This Row],[Commission ]]-Table1[[#This Row],[Commission VAT]]-Table1[[#This Row],[FreeDeliveryFund]]</f>
        <v>413.93481559999992</v>
      </c>
      <c r="AY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M785" s="2"/>
    </row>
    <row r="786" spans="12:65" x14ac:dyDescent="0.25">
      <c r="L786" s="2">
        <v>504016</v>
      </c>
      <c r="M786" s="2" t="s">
        <v>52</v>
      </c>
      <c r="N786" s="2">
        <v>505837</v>
      </c>
      <c r="O786" t="s">
        <v>53</v>
      </c>
      <c r="P786">
        <v>3421109957</v>
      </c>
      <c r="Q786" s="5">
        <v>46048.728506944448</v>
      </c>
      <c r="R786" s="2" t="s">
        <v>54</v>
      </c>
      <c r="S786" s="2" t="s">
        <v>51</v>
      </c>
      <c r="T786" s="2" t="s">
        <v>55</v>
      </c>
      <c r="U786" s="2" t="s">
        <v>56</v>
      </c>
      <c r="V786" s="2" t="s">
        <v>57</v>
      </c>
      <c r="W786" s="2" t="s">
        <v>58</v>
      </c>
      <c r="X786" s="2" t="s">
        <v>59</v>
      </c>
      <c r="Y786" s="1">
        <v>494.92</v>
      </c>
      <c r="Z786" s="1">
        <v>494.92</v>
      </c>
      <c r="AA786" s="1">
        <v>9</v>
      </c>
      <c r="AB786" s="1">
        <v>24.75</v>
      </c>
      <c r="AC786" s="1">
        <v>0</v>
      </c>
      <c r="AD786" s="1">
        <v>64.924390000000002</v>
      </c>
      <c r="AE786" s="1">
        <v>528.66999999999996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8.6610999999999994</v>
      </c>
      <c r="AP786" s="1">
        <v>1.2125539999999999</v>
      </c>
      <c r="AQ786" s="1">
        <v>434.14035000000001</v>
      </c>
      <c r="AR786" s="1">
        <v>434.14035000000001</v>
      </c>
      <c r="AS786" s="1">
        <v>108.53509</v>
      </c>
      <c r="AT786" s="1">
        <v>15.1949126</v>
      </c>
      <c r="AU786" s="1">
        <v>31.99</v>
      </c>
      <c r="AV786" s="2" t="s">
        <v>60</v>
      </c>
      <c r="AW786" s="1">
        <v>329.32600000000002</v>
      </c>
      <c r="AX786" s="1">
        <f>Table1[[#This Row],[Original Commissionable GMV]]-Table1[[#This Row],[Commission ]]-Table1[[#This Row],[Commission VAT]]-Table1[[#This Row],[FreeDeliveryFund]]</f>
        <v>278.42034740000003</v>
      </c>
      <c r="AY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M786" s="2"/>
    </row>
    <row r="787" spans="12:65" x14ac:dyDescent="0.25">
      <c r="L787" s="2">
        <v>504016</v>
      </c>
      <c r="M787" s="2" t="s">
        <v>52</v>
      </c>
      <c r="N787" s="2">
        <v>505839</v>
      </c>
      <c r="O787" t="s">
        <v>53</v>
      </c>
      <c r="P787">
        <v>3421135032</v>
      </c>
      <c r="Q787" s="5">
        <v>46048.73605324074</v>
      </c>
      <c r="R787" s="2" t="s">
        <v>54</v>
      </c>
      <c r="S787" s="2" t="s">
        <v>51</v>
      </c>
      <c r="T787" s="2" t="s">
        <v>55</v>
      </c>
      <c r="U787" s="2" t="s">
        <v>56</v>
      </c>
      <c r="V787" s="2" t="s">
        <v>57</v>
      </c>
      <c r="W787" s="2" t="s">
        <v>58</v>
      </c>
      <c r="X787" s="2" t="s">
        <v>59</v>
      </c>
      <c r="Y787" s="1">
        <v>353.99</v>
      </c>
      <c r="Z787" s="1">
        <v>353.99</v>
      </c>
      <c r="AA787" s="1">
        <v>33.99</v>
      </c>
      <c r="AB787" s="1">
        <v>17.7</v>
      </c>
      <c r="AC787" s="1">
        <v>0</v>
      </c>
      <c r="AD787" s="1">
        <v>49.820349999999998</v>
      </c>
      <c r="AE787" s="1">
        <v>405.68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6.1948249999999998</v>
      </c>
      <c r="AP787" s="1">
        <v>0.86727549999999998</v>
      </c>
      <c r="AQ787" s="1">
        <v>310.51754</v>
      </c>
      <c r="AR787" s="1">
        <v>310.51754</v>
      </c>
      <c r="AS787" s="1">
        <v>77.629390000000001</v>
      </c>
      <c r="AT787" s="1">
        <v>10.8681146</v>
      </c>
      <c r="AU787" s="1">
        <v>0</v>
      </c>
      <c r="AV787" s="2" t="s">
        <v>69</v>
      </c>
      <c r="AW787" s="1">
        <v>258.43</v>
      </c>
      <c r="AX787" s="1">
        <f>Table1[[#This Row],[Original Commissionable GMV]]-Table1[[#This Row],[Commission ]]-Table1[[#This Row],[Commission VAT]]-Table1[[#This Row],[FreeDeliveryFund]]</f>
        <v>222.02003539999998</v>
      </c>
      <c r="AY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M787" s="2"/>
    </row>
    <row r="788" spans="12:65" x14ac:dyDescent="0.25">
      <c r="L788" s="2">
        <v>504016</v>
      </c>
      <c r="M788" s="2" t="s">
        <v>52</v>
      </c>
      <c r="N788" s="2">
        <v>505837</v>
      </c>
      <c r="O788" t="s">
        <v>53</v>
      </c>
      <c r="P788">
        <v>3421170377</v>
      </c>
      <c r="Q788" s="5">
        <v>46048.746608796297</v>
      </c>
      <c r="R788" s="2" t="s">
        <v>54</v>
      </c>
      <c r="S788" s="2" t="s">
        <v>51</v>
      </c>
      <c r="T788" s="2" t="s">
        <v>55</v>
      </c>
      <c r="U788" s="2" t="s">
        <v>56</v>
      </c>
      <c r="V788" s="2" t="s">
        <v>57</v>
      </c>
      <c r="W788" s="2" t="s">
        <v>58</v>
      </c>
      <c r="X788" s="2" t="s">
        <v>59</v>
      </c>
      <c r="Y788" s="1">
        <v>363.99</v>
      </c>
      <c r="Z788" s="1">
        <v>363.99</v>
      </c>
      <c r="AA788" s="1">
        <v>0</v>
      </c>
      <c r="AB788" s="1">
        <v>18.2</v>
      </c>
      <c r="AC788" s="1">
        <v>0</v>
      </c>
      <c r="AD788" s="1">
        <v>46.935609999999997</v>
      </c>
      <c r="AE788" s="1">
        <v>382.19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6.3698249999999996</v>
      </c>
      <c r="AP788" s="1">
        <v>0.89177550000000005</v>
      </c>
      <c r="AQ788" s="1">
        <v>319.28946999999999</v>
      </c>
      <c r="AR788" s="1">
        <v>319.28946999999999</v>
      </c>
      <c r="AS788" s="1">
        <v>79.822370000000006</v>
      </c>
      <c r="AT788" s="1">
        <v>11.175131800000001</v>
      </c>
      <c r="AU788" s="1">
        <v>31.99</v>
      </c>
      <c r="AV788" s="2" t="s">
        <v>60</v>
      </c>
      <c r="AW788" s="1">
        <v>233.74100000000001</v>
      </c>
      <c r="AX788" s="1">
        <f>Table1[[#This Row],[Original Commissionable GMV]]-Table1[[#This Row],[Commission ]]-Table1[[#This Row],[Commission VAT]]-Table1[[#This Row],[FreeDeliveryFund]]</f>
        <v>196.30196819999998</v>
      </c>
      <c r="AY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M788" s="2"/>
    </row>
    <row r="789" spans="12:65" x14ac:dyDescent="0.25">
      <c r="L789" s="2">
        <v>504016</v>
      </c>
      <c r="M789" s="2" t="s">
        <v>52</v>
      </c>
      <c r="N789" s="2">
        <v>505837</v>
      </c>
      <c r="O789" t="s">
        <v>63</v>
      </c>
      <c r="P789">
        <v>3421212321</v>
      </c>
      <c r="Q789" s="5">
        <v>46048.758981481478</v>
      </c>
      <c r="R789" s="2" t="s">
        <v>54</v>
      </c>
      <c r="S789" s="2" t="s">
        <v>51</v>
      </c>
      <c r="T789" s="2" t="s">
        <v>55</v>
      </c>
      <c r="U789" s="2" t="s">
        <v>59</v>
      </c>
      <c r="V789" s="2" t="s">
        <v>57</v>
      </c>
      <c r="W789" s="2" t="s">
        <v>58</v>
      </c>
      <c r="X789" s="2" t="s">
        <v>59</v>
      </c>
      <c r="Y789" s="1">
        <v>159.6</v>
      </c>
      <c r="Z789" s="1">
        <v>159.6</v>
      </c>
      <c r="AA789" s="1">
        <v>0</v>
      </c>
      <c r="AB789" s="1">
        <v>7.98</v>
      </c>
      <c r="AC789" s="1">
        <v>0</v>
      </c>
      <c r="AD789" s="1">
        <v>20.58</v>
      </c>
      <c r="AE789" s="1">
        <v>167.58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2.7930000000000001</v>
      </c>
      <c r="AP789" s="1">
        <v>0.39101999999999998</v>
      </c>
      <c r="AQ789" s="1">
        <v>140</v>
      </c>
      <c r="AR789" s="1">
        <v>140</v>
      </c>
      <c r="AS789" s="1">
        <v>35</v>
      </c>
      <c r="AT789" s="1">
        <v>4.9000000000000004</v>
      </c>
      <c r="AU789" s="1">
        <v>28.99</v>
      </c>
      <c r="AV789" s="2" t="s">
        <v>60</v>
      </c>
      <c r="AW789" s="1">
        <v>87.525999999999996</v>
      </c>
      <c r="AX789" s="1">
        <f>Table1[[#This Row],[Original Commissionable GMV]]-Table1[[#This Row],[Commission ]]-Table1[[#This Row],[Commission VAT]]-Table1[[#This Row],[FreeDeliveryFund]]</f>
        <v>71.11</v>
      </c>
      <c r="AY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M789" s="2"/>
    </row>
    <row r="790" spans="12:65" x14ac:dyDescent="0.25">
      <c r="L790" s="2">
        <v>504016</v>
      </c>
      <c r="M790" s="2" t="s">
        <v>52</v>
      </c>
      <c r="N790" s="2">
        <v>505839</v>
      </c>
      <c r="O790" t="s">
        <v>63</v>
      </c>
      <c r="P790">
        <v>3421278141</v>
      </c>
      <c r="Q790" s="5">
        <v>46048.77789351852</v>
      </c>
      <c r="R790" s="2" t="s">
        <v>54</v>
      </c>
      <c r="S790" s="2" t="s">
        <v>51</v>
      </c>
      <c r="T790" s="2" t="s">
        <v>55</v>
      </c>
      <c r="U790" s="2" t="s">
        <v>56</v>
      </c>
      <c r="V790" s="2" t="s">
        <v>57</v>
      </c>
      <c r="W790" s="2" t="s">
        <v>58</v>
      </c>
      <c r="X790" s="2" t="s">
        <v>59</v>
      </c>
      <c r="Y790" s="1">
        <v>481.84</v>
      </c>
      <c r="Z790" s="1">
        <v>481.84</v>
      </c>
      <c r="AA790" s="1">
        <v>7</v>
      </c>
      <c r="AB790" s="1">
        <v>24.09</v>
      </c>
      <c r="AC790" s="1">
        <v>0</v>
      </c>
      <c r="AD790" s="1">
        <v>62.991399999999999</v>
      </c>
      <c r="AE790" s="1">
        <v>512.92999999999995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8.4321999999999999</v>
      </c>
      <c r="AP790" s="1">
        <v>1.1805079999999999</v>
      </c>
      <c r="AQ790" s="1">
        <v>422.66667000000001</v>
      </c>
      <c r="AR790" s="1">
        <v>422.66667000000001</v>
      </c>
      <c r="AS790" s="1">
        <v>105.66667</v>
      </c>
      <c r="AT790" s="1">
        <v>14.793333799999999</v>
      </c>
      <c r="AU790" s="1">
        <v>27.99</v>
      </c>
      <c r="AV790" s="2" t="s">
        <v>60</v>
      </c>
      <c r="AW790" s="1">
        <v>323.77699999999999</v>
      </c>
      <c r="AX790" s="1">
        <f>Table1[[#This Row],[Original Commissionable GMV]]-Table1[[#This Row],[Commission ]]-Table1[[#This Row],[Commission VAT]]-Table1[[#This Row],[FreeDeliveryFund]]</f>
        <v>274.21666619999996</v>
      </c>
      <c r="AY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M790" s="2"/>
    </row>
    <row r="791" spans="12:65" x14ac:dyDescent="0.25">
      <c r="L791" s="2">
        <v>504016</v>
      </c>
      <c r="M791" s="2" t="s">
        <v>52</v>
      </c>
      <c r="N791" s="2">
        <v>505837</v>
      </c>
      <c r="O791" t="s">
        <v>53</v>
      </c>
      <c r="P791">
        <v>3421305180</v>
      </c>
      <c r="Q791" s="5">
        <v>46048.785833333335</v>
      </c>
      <c r="R791" s="2" t="s">
        <v>66</v>
      </c>
      <c r="S791" s="2" t="s">
        <v>51</v>
      </c>
      <c r="T791" s="2" t="s">
        <v>55</v>
      </c>
      <c r="U791" s="2" t="s">
        <v>56</v>
      </c>
      <c r="V791" s="2" t="s">
        <v>57</v>
      </c>
      <c r="W791" s="2" t="s">
        <v>58</v>
      </c>
      <c r="X791" s="2" t="s">
        <v>59</v>
      </c>
      <c r="Y791" s="1">
        <v>353.99</v>
      </c>
      <c r="Z791" s="1">
        <v>353.99</v>
      </c>
      <c r="AA791" s="1">
        <v>9</v>
      </c>
      <c r="AB791" s="1">
        <v>17.7</v>
      </c>
      <c r="AC791" s="1">
        <v>0</v>
      </c>
      <c r="AD791" s="1">
        <v>46.751399999999997</v>
      </c>
      <c r="AE791" s="1">
        <v>380.69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6.1948249999999998</v>
      </c>
      <c r="AP791" s="1">
        <v>0.86727549999999998</v>
      </c>
      <c r="AQ791" s="1">
        <v>310.51754</v>
      </c>
      <c r="AR791" s="1">
        <v>310.51754</v>
      </c>
      <c r="AS791" s="1">
        <v>77.629390000000001</v>
      </c>
      <c r="AT791" s="1">
        <v>10.8681146</v>
      </c>
      <c r="AU791" s="1">
        <v>32.99</v>
      </c>
      <c r="AV791" s="2" t="s">
        <v>60</v>
      </c>
      <c r="AW791" s="1">
        <v>225.44</v>
      </c>
      <c r="AX791" s="1">
        <f>Table1[[#This Row],[Original Commissionable GMV]]-Table1[[#This Row],[Commission ]]-Table1[[#This Row],[Commission VAT]]-Table1[[#This Row],[FreeDeliveryFund]]</f>
        <v>189.03003539999997</v>
      </c>
      <c r="AY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M791" s="2"/>
    </row>
    <row r="792" spans="12:65" x14ac:dyDescent="0.25">
      <c r="L792" s="2">
        <v>504016</v>
      </c>
      <c r="M792" s="2" t="s">
        <v>52</v>
      </c>
      <c r="N792" s="2">
        <v>505839</v>
      </c>
      <c r="O792" t="s">
        <v>53</v>
      </c>
      <c r="P792">
        <v>3421360747</v>
      </c>
      <c r="Q792" s="5">
        <v>46048.802152777775</v>
      </c>
      <c r="R792" s="2" t="s">
        <v>54</v>
      </c>
      <c r="S792" s="2" t="s">
        <v>51</v>
      </c>
      <c r="T792" s="2" t="s">
        <v>55</v>
      </c>
      <c r="U792" s="2" t="s">
        <v>59</v>
      </c>
      <c r="V792" s="2" t="s">
        <v>57</v>
      </c>
      <c r="W792" s="2" t="s">
        <v>58</v>
      </c>
      <c r="X792" s="2" t="s">
        <v>59</v>
      </c>
      <c r="Y792" s="1">
        <v>353.99</v>
      </c>
      <c r="Z792" s="1">
        <v>353.99</v>
      </c>
      <c r="AA792" s="1">
        <v>31.99</v>
      </c>
      <c r="AB792" s="1">
        <v>17.7</v>
      </c>
      <c r="AC792" s="1">
        <v>0</v>
      </c>
      <c r="AD792" s="1">
        <v>49.574739999999998</v>
      </c>
      <c r="AE792" s="1">
        <v>403.68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6.1948249999999998</v>
      </c>
      <c r="AP792" s="1">
        <v>0.86727549999999998</v>
      </c>
      <c r="AQ792" s="1">
        <v>310.51754</v>
      </c>
      <c r="AR792" s="1">
        <v>310.51754</v>
      </c>
      <c r="AS792" s="1">
        <v>77.629390000000001</v>
      </c>
      <c r="AT792" s="1">
        <v>10.8681146</v>
      </c>
      <c r="AU792" s="1">
        <v>0</v>
      </c>
      <c r="AV792" s="2" t="s">
        <v>69</v>
      </c>
      <c r="AW792" s="1">
        <v>258.43</v>
      </c>
      <c r="AX792" s="1">
        <f>Table1[[#This Row],[Original Commissionable GMV]]-Table1[[#This Row],[Commission ]]-Table1[[#This Row],[Commission VAT]]-Table1[[#This Row],[FreeDeliveryFund]]</f>
        <v>222.02003539999998</v>
      </c>
      <c r="AY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M792" s="2"/>
    </row>
    <row r="793" spans="12:65" x14ac:dyDescent="0.25">
      <c r="L793" s="2">
        <v>504016</v>
      </c>
      <c r="M793" s="2" t="s">
        <v>52</v>
      </c>
      <c r="N793" s="2">
        <v>505839</v>
      </c>
      <c r="O793" t="s">
        <v>63</v>
      </c>
      <c r="P793">
        <v>3421371407</v>
      </c>
      <c r="Q793" s="5">
        <v>46048.805243055554</v>
      </c>
      <c r="R793" s="2" t="s">
        <v>54</v>
      </c>
      <c r="S793" s="2" t="s">
        <v>51</v>
      </c>
      <c r="T793" s="2" t="s">
        <v>55</v>
      </c>
      <c r="U793" s="2" t="s">
        <v>59</v>
      </c>
      <c r="V793" s="2" t="s">
        <v>57</v>
      </c>
      <c r="W793" s="2" t="s">
        <v>58</v>
      </c>
      <c r="X793" s="2" t="s">
        <v>59</v>
      </c>
      <c r="Y793" s="1">
        <v>467.77</v>
      </c>
      <c r="Z793" s="1">
        <v>467.77</v>
      </c>
      <c r="AA793" s="1">
        <v>0</v>
      </c>
      <c r="AB793" s="1">
        <v>23.39</v>
      </c>
      <c r="AC793" s="1">
        <v>0</v>
      </c>
      <c r="AD793" s="1">
        <v>60.317889999999998</v>
      </c>
      <c r="AE793" s="1">
        <v>491.16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300</v>
      </c>
      <c r="AM793" s="1">
        <v>0</v>
      </c>
      <c r="AN793" s="1">
        <v>0</v>
      </c>
      <c r="AO793" s="1">
        <v>8.1859749999999991</v>
      </c>
      <c r="AP793" s="1">
        <v>1.1460364999999999</v>
      </c>
      <c r="AQ793" s="1">
        <v>410.32456000000002</v>
      </c>
      <c r="AR793" s="1">
        <v>410.32456000000002</v>
      </c>
      <c r="AS793" s="1">
        <v>102.58114</v>
      </c>
      <c r="AT793" s="1">
        <v>14.3613596</v>
      </c>
      <c r="AU793" s="1">
        <v>26.99</v>
      </c>
      <c r="AV793" s="2" t="s">
        <v>60</v>
      </c>
      <c r="AW793" s="1">
        <v>314.505</v>
      </c>
      <c r="AX793" s="1">
        <f>Table1[[#This Row],[Original Commissionable GMV]]-Table1[[#This Row],[Commission ]]-Table1[[#This Row],[Commission VAT]]-Table1[[#This Row],[FreeDeliveryFund]]</f>
        <v>266.39206039999999</v>
      </c>
      <c r="AY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M793" s="2"/>
    </row>
    <row r="794" spans="12:65" x14ac:dyDescent="0.25">
      <c r="L794" s="2">
        <v>504016</v>
      </c>
      <c r="M794" s="2" t="s">
        <v>52</v>
      </c>
      <c r="N794" s="2">
        <v>505839</v>
      </c>
      <c r="O794" t="s">
        <v>63</v>
      </c>
      <c r="P794">
        <v>3421423156</v>
      </c>
      <c r="Q794" s="5">
        <v>46048.820706018516</v>
      </c>
      <c r="R794" s="2" t="s">
        <v>54</v>
      </c>
      <c r="S794" s="2" t="s">
        <v>51</v>
      </c>
      <c r="T794" s="2" t="s">
        <v>55</v>
      </c>
      <c r="U794" s="2" t="s">
        <v>56</v>
      </c>
      <c r="V794" s="2" t="s">
        <v>57</v>
      </c>
      <c r="W794" s="2" t="s">
        <v>58</v>
      </c>
      <c r="X794" s="2" t="s">
        <v>59</v>
      </c>
      <c r="Y794" s="1">
        <v>285.67</v>
      </c>
      <c r="Z794" s="1">
        <v>333.67</v>
      </c>
      <c r="AA794" s="1">
        <v>7</v>
      </c>
      <c r="AB794" s="1">
        <v>16.68</v>
      </c>
      <c r="AC794" s="1">
        <v>0</v>
      </c>
      <c r="AD794" s="1">
        <v>43.885089999999998</v>
      </c>
      <c r="AE794" s="1">
        <v>309.35000000000002</v>
      </c>
      <c r="AG794" s="1">
        <v>0</v>
      </c>
      <c r="AH794" s="1">
        <v>48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4.999225</v>
      </c>
      <c r="AP794" s="1">
        <v>0.6998915</v>
      </c>
      <c r="AQ794" s="1">
        <v>250.58771999999999</v>
      </c>
      <c r="AR794" s="1">
        <v>250.58771999999999</v>
      </c>
      <c r="AS794" s="1">
        <v>62.646929999999998</v>
      </c>
      <c r="AT794" s="1">
        <v>8.7705701999999999</v>
      </c>
      <c r="AU794" s="1">
        <v>26.99</v>
      </c>
      <c r="AV794" s="2" t="s">
        <v>60</v>
      </c>
      <c r="AW794" s="1">
        <v>181.56299999999999</v>
      </c>
      <c r="AX794" s="1">
        <f>Table1[[#This Row],[Original Commissionable GMV]]-Table1[[#This Row],[Commission ]]-Table1[[#This Row],[Commission VAT]]-Table1[[#This Row],[FreeDeliveryFund]]</f>
        <v>152.18021979999997</v>
      </c>
      <c r="AY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M794" s="2"/>
    </row>
    <row r="795" spans="12:65" x14ac:dyDescent="0.25">
      <c r="L795" s="2">
        <v>504016</v>
      </c>
      <c r="M795" s="2" t="s">
        <v>52</v>
      </c>
      <c r="N795" s="2">
        <v>505837</v>
      </c>
      <c r="O795" t="s">
        <v>63</v>
      </c>
      <c r="P795">
        <v>3421480273</v>
      </c>
      <c r="Q795" s="5">
        <v>46048.838229166664</v>
      </c>
      <c r="R795" s="2" t="s">
        <v>54</v>
      </c>
      <c r="S795" s="2" t="s">
        <v>51</v>
      </c>
      <c r="T795" s="2" t="s">
        <v>55</v>
      </c>
      <c r="U795" s="2" t="s">
        <v>56</v>
      </c>
      <c r="V795" s="2" t="s">
        <v>57</v>
      </c>
      <c r="W795" s="2" t="s">
        <v>58</v>
      </c>
      <c r="X795" s="2" t="s">
        <v>59</v>
      </c>
      <c r="Y795" s="1">
        <v>624.99</v>
      </c>
      <c r="Z795" s="1">
        <v>624.99</v>
      </c>
      <c r="AA795" s="1">
        <v>35.99</v>
      </c>
      <c r="AB795" s="1">
        <v>29.99</v>
      </c>
      <c r="AC795" s="1">
        <v>0</v>
      </c>
      <c r="AD795" s="1">
        <v>84.855959999999996</v>
      </c>
      <c r="AE795" s="1">
        <v>690.97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10.937325</v>
      </c>
      <c r="AP795" s="1">
        <v>1.5312254999999999</v>
      </c>
      <c r="AQ795" s="1">
        <v>548.23684000000003</v>
      </c>
      <c r="AR795" s="1">
        <v>548.23684000000003</v>
      </c>
      <c r="AS795" s="1">
        <v>137.05921000000001</v>
      </c>
      <c r="AT795" s="1">
        <v>19.188289399999999</v>
      </c>
      <c r="AU795" s="1">
        <v>0</v>
      </c>
      <c r="AV795" s="2" t="s">
        <v>69</v>
      </c>
      <c r="AW795" s="1">
        <v>456.274</v>
      </c>
      <c r="AX795" s="1">
        <f>Table1[[#This Row],[Original Commissionable GMV]]-Table1[[#This Row],[Commission ]]-Table1[[#This Row],[Commission VAT]]-Table1[[#This Row],[FreeDeliveryFund]]</f>
        <v>391.98934060000005</v>
      </c>
      <c r="AY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M795" s="2"/>
    </row>
    <row r="796" spans="12:65" x14ac:dyDescent="0.25">
      <c r="L796" s="2">
        <v>504016</v>
      </c>
      <c r="M796" s="2" t="s">
        <v>52</v>
      </c>
      <c r="N796" s="2">
        <v>505839</v>
      </c>
      <c r="O796" t="s">
        <v>53</v>
      </c>
      <c r="P796">
        <v>3421485196</v>
      </c>
      <c r="Q796" s="5">
        <v>46048.839745370373</v>
      </c>
      <c r="R796" s="2" t="s">
        <v>54</v>
      </c>
      <c r="S796" s="2" t="s">
        <v>51</v>
      </c>
      <c r="T796" s="2" t="s">
        <v>55</v>
      </c>
      <c r="U796" s="2" t="s">
        <v>56</v>
      </c>
      <c r="V796" s="2" t="s">
        <v>57</v>
      </c>
      <c r="W796" s="2" t="s">
        <v>58</v>
      </c>
      <c r="X796" s="2" t="s">
        <v>59</v>
      </c>
      <c r="Y796" s="1">
        <v>353.99</v>
      </c>
      <c r="Z796" s="1">
        <v>353.99</v>
      </c>
      <c r="AA796" s="1">
        <v>0</v>
      </c>
      <c r="AB796" s="1">
        <v>17.7</v>
      </c>
      <c r="AC796" s="1">
        <v>0</v>
      </c>
      <c r="AD796" s="1">
        <v>45.646140000000003</v>
      </c>
      <c r="AE796" s="1">
        <v>371.69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6.1948249999999998</v>
      </c>
      <c r="AP796" s="1">
        <v>0.86727549999999998</v>
      </c>
      <c r="AQ796" s="1">
        <v>310.51754</v>
      </c>
      <c r="AR796" s="1">
        <v>310.51754</v>
      </c>
      <c r="AS796" s="1">
        <v>77.629390000000001</v>
      </c>
      <c r="AT796" s="1">
        <v>10.8681146</v>
      </c>
      <c r="AU796" s="1">
        <v>35.99</v>
      </c>
      <c r="AV796" s="2" t="s">
        <v>60</v>
      </c>
      <c r="AW796" s="1">
        <v>222.44</v>
      </c>
      <c r="AX796" s="1">
        <f>Table1[[#This Row],[Original Commissionable GMV]]-Table1[[#This Row],[Commission ]]-Table1[[#This Row],[Commission VAT]]-Table1[[#This Row],[FreeDeliveryFund]]</f>
        <v>186.03003539999997</v>
      </c>
      <c r="AY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M796" s="2"/>
    </row>
    <row r="797" spans="12:65" x14ac:dyDescent="0.25">
      <c r="L797" s="2">
        <v>504016</v>
      </c>
      <c r="M797" s="2" t="s">
        <v>52</v>
      </c>
      <c r="N797" s="2">
        <v>505837</v>
      </c>
      <c r="O797" t="s">
        <v>53</v>
      </c>
      <c r="P797">
        <v>3421509488</v>
      </c>
      <c r="Q797" s="5">
        <v>46048.847569444442</v>
      </c>
      <c r="R797" s="2" t="s">
        <v>62</v>
      </c>
      <c r="S797" s="2" t="s">
        <v>51</v>
      </c>
      <c r="T797" s="2" t="s">
        <v>55</v>
      </c>
      <c r="U797" s="2" t="s">
        <v>59</v>
      </c>
      <c r="V797" s="2" t="s">
        <v>57</v>
      </c>
      <c r="W797" s="2" t="s">
        <v>58</v>
      </c>
      <c r="X797" s="2" t="s">
        <v>59</v>
      </c>
      <c r="Y797" s="1">
        <v>1548.95</v>
      </c>
      <c r="Z797" s="1">
        <v>1548.95</v>
      </c>
      <c r="AA797" s="1">
        <v>33.99</v>
      </c>
      <c r="AB797" s="1">
        <v>29.99</v>
      </c>
      <c r="AC797" s="1">
        <v>0</v>
      </c>
      <c r="AD797" s="1">
        <v>198.07911999999999</v>
      </c>
      <c r="AE797" s="1">
        <v>1612.93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1358.7280699999999</v>
      </c>
      <c r="AR797" s="1">
        <v>1358.7280699999999</v>
      </c>
      <c r="AS797" s="1">
        <v>339.68202000000002</v>
      </c>
      <c r="AT797" s="1">
        <v>47.5554828</v>
      </c>
      <c r="AU797" s="1">
        <v>0</v>
      </c>
      <c r="AV797" s="2" t="s">
        <v>69</v>
      </c>
      <c r="AW797" s="1">
        <v>1161.712</v>
      </c>
      <c r="AX797" s="1">
        <f>Table1[[#This Row],[Original Commissionable GMV]]-Table1[[#This Row],[Commission ]]-Table1[[#This Row],[Commission VAT]]-Table1[[#This Row],[FreeDeliveryFund]]</f>
        <v>971.49056719999987</v>
      </c>
      <c r="AY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M797" s="2"/>
    </row>
    <row r="798" spans="12:65" x14ac:dyDescent="0.25">
      <c r="L798" s="2">
        <v>504016</v>
      </c>
      <c r="M798" s="2" t="s">
        <v>52</v>
      </c>
      <c r="N798" s="2">
        <v>505835</v>
      </c>
      <c r="O798" t="s">
        <v>63</v>
      </c>
      <c r="P798">
        <v>3421540338</v>
      </c>
      <c r="Q798" s="5">
        <v>46048.857858796298</v>
      </c>
      <c r="R798" s="2" t="s">
        <v>54</v>
      </c>
      <c r="S798" s="2" t="s">
        <v>51</v>
      </c>
      <c r="T798" s="2" t="s">
        <v>55</v>
      </c>
      <c r="U798" s="2" t="s">
        <v>59</v>
      </c>
      <c r="V798" s="2" t="s">
        <v>57</v>
      </c>
      <c r="W798" s="2" t="s">
        <v>58</v>
      </c>
      <c r="X798" s="2" t="s">
        <v>59</v>
      </c>
      <c r="Y798" s="1">
        <v>866.99</v>
      </c>
      <c r="Z798" s="1">
        <v>866.99</v>
      </c>
      <c r="AA798" s="1">
        <v>0</v>
      </c>
      <c r="AB798" s="1">
        <v>29.99</v>
      </c>
      <c r="AC798" s="1">
        <v>0</v>
      </c>
      <c r="AD798" s="1">
        <v>110.15544</v>
      </c>
      <c r="AE798" s="1">
        <v>896.98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15.172325000000001</v>
      </c>
      <c r="AP798" s="1">
        <v>2.1241254999999999</v>
      </c>
      <c r="AQ798" s="1">
        <v>760.51754000000005</v>
      </c>
      <c r="AR798" s="1">
        <v>760.51754000000005</v>
      </c>
      <c r="AS798" s="1">
        <v>190.12939</v>
      </c>
      <c r="AT798" s="1">
        <v>26.618114599999998</v>
      </c>
      <c r="AU798" s="1">
        <v>28.99</v>
      </c>
      <c r="AV798" s="2" t="s">
        <v>60</v>
      </c>
      <c r="AW798" s="1">
        <v>603.95600000000002</v>
      </c>
      <c r="AX798" s="1">
        <f>Table1[[#This Row],[Original Commissionable GMV]]-Table1[[#This Row],[Commission ]]-Table1[[#This Row],[Commission VAT]]-Table1[[#This Row],[FreeDeliveryFund]]</f>
        <v>514.78003539999997</v>
      </c>
      <c r="AY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M798" s="2"/>
    </row>
    <row r="799" spans="12:65" x14ac:dyDescent="0.25">
      <c r="L799" s="2">
        <v>504016</v>
      </c>
      <c r="M799" s="2" t="s">
        <v>52</v>
      </c>
      <c r="N799" s="2">
        <v>505837</v>
      </c>
      <c r="O799" t="s">
        <v>63</v>
      </c>
      <c r="P799">
        <v>3421570750</v>
      </c>
      <c r="Q799" s="5">
        <v>46048.868391203701</v>
      </c>
      <c r="R799" s="2" t="s">
        <v>62</v>
      </c>
      <c r="S799" s="2" t="s">
        <v>51</v>
      </c>
      <c r="T799" s="2" t="s">
        <v>55</v>
      </c>
      <c r="U799" s="2" t="s">
        <v>56</v>
      </c>
      <c r="V799" s="2" t="s">
        <v>57</v>
      </c>
      <c r="W799" s="2" t="s">
        <v>58</v>
      </c>
      <c r="X799" s="2" t="s">
        <v>59</v>
      </c>
      <c r="Y799" s="1">
        <v>645.98</v>
      </c>
      <c r="Z799" s="1">
        <v>645.98</v>
      </c>
      <c r="AA799" s="1">
        <v>0</v>
      </c>
      <c r="AB799" s="1">
        <v>29.99</v>
      </c>
      <c r="AC799" s="1">
        <v>0</v>
      </c>
      <c r="AD799" s="1">
        <v>83.013859999999994</v>
      </c>
      <c r="AE799" s="1">
        <v>675.97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566.64912000000004</v>
      </c>
      <c r="AR799" s="1">
        <v>566.64912000000004</v>
      </c>
      <c r="AS799" s="1">
        <v>141.66228000000001</v>
      </c>
      <c r="AT799" s="1">
        <v>19.8327192</v>
      </c>
      <c r="AU799" s="1">
        <v>26.99</v>
      </c>
      <c r="AV799" s="2" t="s">
        <v>60</v>
      </c>
      <c r="AW799" s="1">
        <v>457.495</v>
      </c>
      <c r="AX799" s="1">
        <f>Table1[[#This Row],[Original Commissionable GMV]]-Table1[[#This Row],[Commission ]]-Table1[[#This Row],[Commission VAT]]-Table1[[#This Row],[FreeDeliveryFund]]</f>
        <v>378.16412080000003</v>
      </c>
      <c r="AY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M799" s="2"/>
    </row>
    <row r="800" spans="12:65" x14ac:dyDescent="0.25">
      <c r="L800" s="2">
        <v>504016</v>
      </c>
      <c r="M800" s="2" t="s">
        <v>52</v>
      </c>
      <c r="N800" s="2">
        <v>505839</v>
      </c>
      <c r="O800" t="s">
        <v>53</v>
      </c>
      <c r="P800">
        <v>3421600293</v>
      </c>
      <c r="Q800" s="5">
        <v>46048.879155092596</v>
      </c>
      <c r="R800" s="2" t="s">
        <v>54</v>
      </c>
      <c r="S800" s="2" t="s">
        <v>51</v>
      </c>
      <c r="T800" s="2" t="s">
        <v>55</v>
      </c>
      <c r="U800" s="2" t="s">
        <v>59</v>
      </c>
      <c r="V800" s="2" t="s">
        <v>57</v>
      </c>
      <c r="W800" s="2" t="s">
        <v>58</v>
      </c>
      <c r="X800" s="2" t="s">
        <v>59</v>
      </c>
      <c r="Y800" s="1">
        <v>211.99</v>
      </c>
      <c r="Z800" s="1">
        <v>211.99</v>
      </c>
      <c r="AA800" s="1">
        <v>31.99</v>
      </c>
      <c r="AB800" s="1">
        <v>10.6</v>
      </c>
      <c r="AC800" s="1">
        <v>0</v>
      </c>
      <c r="AD800" s="1">
        <v>31.264209999999999</v>
      </c>
      <c r="AE800" s="1">
        <v>254.58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3.7098249999999999</v>
      </c>
      <c r="AP800" s="1">
        <v>0.51937549999999999</v>
      </c>
      <c r="AQ800" s="1">
        <v>185.95614</v>
      </c>
      <c r="AR800" s="1">
        <v>185.95614</v>
      </c>
      <c r="AS800" s="1">
        <v>46.489040000000003</v>
      </c>
      <c r="AT800" s="1">
        <v>6.5084656000000001</v>
      </c>
      <c r="AU800" s="1">
        <v>0</v>
      </c>
      <c r="AV800" s="2" t="s">
        <v>69</v>
      </c>
      <c r="AW800" s="1">
        <v>154.76300000000001</v>
      </c>
      <c r="AX800" s="1">
        <f>Table1[[#This Row],[Original Commissionable GMV]]-Table1[[#This Row],[Commission ]]-Table1[[#This Row],[Commission VAT]]-Table1[[#This Row],[FreeDeliveryFund]]</f>
        <v>132.95863440000002</v>
      </c>
      <c r="AY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M800" s="2"/>
    </row>
    <row r="801" spans="12:65" x14ac:dyDescent="0.25">
      <c r="L801" s="2">
        <v>504016</v>
      </c>
      <c r="M801" s="2" t="s">
        <v>52</v>
      </c>
      <c r="N801" s="2">
        <v>505839</v>
      </c>
      <c r="O801" t="s">
        <v>53</v>
      </c>
      <c r="P801">
        <v>3421622135</v>
      </c>
      <c r="Q801" s="5">
        <v>46048.887407407405</v>
      </c>
      <c r="R801" s="2" t="s">
        <v>54</v>
      </c>
      <c r="S801" s="2" t="s">
        <v>51</v>
      </c>
      <c r="T801" s="2" t="s">
        <v>55</v>
      </c>
      <c r="U801" s="2" t="s">
        <v>59</v>
      </c>
      <c r="V801" s="2" t="s">
        <v>57</v>
      </c>
      <c r="W801" s="2" t="s">
        <v>58</v>
      </c>
      <c r="X801" s="2" t="s">
        <v>59</v>
      </c>
      <c r="Y801" s="1">
        <v>150.93</v>
      </c>
      <c r="Z801" s="1">
        <v>150.93</v>
      </c>
      <c r="AA801" s="1">
        <v>0</v>
      </c>
      <c r="AB801" s="1">
        <v>7.55</v>
      </c>
      <c r="AC801" s="1">
        <v>0</v>
      </c>
      <c r="AD801" s="1">
        <v>19.46246</v>
      </c>
      <c r="AE801" s="1">
        <v>158.47999999999999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2.6412749999999998</v>
      </c>
      <c r="AP801" s="1">
        <v>0.36977850000000001</v>
      </c>
      <c r="AQ801" s="1">
        <v>132.39474000000001</v>
      </c>
      <c r="AR801" s="1">
        <v>132.39474000000001</v>
      </c>
      <c r="AS801" s="1">
        <v>33.098689999999998</v>
      </c>
      <c r="AT801" s="1">
        <v>4.6338166000000003</v>
      </c>
      <c r="AU801" s="1">
        <v>0</v>
      </c>
      <c r="AV801" s="2" t="s">
        <v>69</v>
      </c>
      <c r="AW801" s="1">
        <v>110.18600000000001</v>
      </c>
      <c r="AX801" s="1">
        <f>Table1[[#This Row],[Original Commissionable GMV]]-Table1[[#This Row],[Commission ]]-Table1[[#This Row],[Commission VAT]]-Table1[[#This Row],[FreeDeliveryFund]]</f>
        <v>94.662233400000005</v>
      </c>
      <c r="AY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M801" s="2"/>
    </row>
    <row r="802" spans="12:65" x14ac:dyDescent="0.25">
      <c r="L802" s="2">
        <v>504016</v>
      </c>
      <c r="M802" s="2" t="s">
        <v>52</v>
      </c>
      <c r="N802" s="2">
        <v>505839</v>
      </c>
      <c r="O802" t="s">
        <v>63</v>
      </c>
      <c r="P802">
        <v>3421646133</v>
      </c>
      <c r="Q802" s="5">
        <v>46048.896898148145</v>
      </c>
      <c r="R802" s="2" t="s">
        <v>54</v>
      </c>
      <c r="S802" s="2" t="s">
        <v>51</v>
      </c>
      <c r="T802" s="2" t="s">
        <v>55</v>
      </c>
      <c r="U802" s="2" t="s">
        <v>56</v>
      </c>
      <c r="V802" s="2" t="s">
        <v>57</v>
      </c>
      <c r="W802" s="2" t="s">
        <v>58</v>
      </c>
      <c r="X802" s="2" t="s">
        <v>59</v>
      </c>
      <c r="Y802" s="1">
        <v>2342.7800000000002</v>
      </c>
      <c r="Z802" s="1">
        <v>2342.7800000000002</v>
      </c>
      <c r="AA802" s="1">
        <v>7</v>
      </c>
      <c r="AB802" s="1">
        <v>29.99</v>
      </c>
      <c r="AC802" s="1">
        <v>0</v>
      </c>
      <c r="AD802" s="1">
        <v>292.25245999999999</v>
      </c>
      <c r="AE802" s="1">
        <v>2379.77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30</v>
      </c>
      <c r="AN802" s="1">
        <v>4.2</v>
      </c>
      <c r="AO802" s="1">
        <v>40.998649999999998</v>
      </c>
      <c r="AP802" s="1">
        <v>5.7398110000000004</v>
      </c>
      <c r="AQ802" s="1">
        <v>2055.0701800000002</v>
      </c>
      <c r="AR802" s="1">
        <v>2055.0701800000002</v>
      </c>
      <c r="AS802" s="1">
        <v>513.76755000000003</v>
      </c>
      <c r="AT802" s="1">
        <v>71.927457000000004</v>
      </c>
      <c r="AU802" s="1">
        <v>29.99</v>
      </c>
      <c r="AV802" s="2" t="s">
        <v>60</v>
      </c>
      <c r="AW802" s="1">
        <v>1646.1569999999999</v>
      </c>
      <c r="AX802" s="1">
        <f>Table1[[#This Row],[Original Commissionable GMV]]-Table1[[#This Row],[Commission ]]-Table1[[#This Row],[Commission VAT]]-Table1[[#This Row],[FreeDeliveryFund]]</f>
        <v>1439.3851730000001</v>
      </c>
      <c r="AY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M802" s="2"/>
    </row>
    <row r="803" spans="12:65" x14ac:dyDescent="0.25">
      <c r="L803" s="2">
        <v>504016</v>
      </c>
      <c r="M803" s="2" t="s">
        <v>52</v>
      </c>
      <c r="N803" s="2">
        <v>505837</v>
      </c>
      <c r="O803" t="s">
        <v>65</v>
      </c>
      <c r="P803">
        <v>3421661884</v>
      </c>
      <c r="Q803" s="5">
        <v>46048.903449074074</v>
      </c>
      <c r="R803" s="2" t="s">
        <v>54</v>
      </c>
      <c r="S803" s="2" t="s">
        <v>51</v>
      </c>
      <c r="T803" s="2" t="s">
        <v>55</v>
      </c>
      <c r="U803" s="2" t="s">
        <v>56</v>
      </c>
      <c r="V803" s="2" t="s">
        <v>57</v>
      </c>
      <c r="W803" s="2" t="s">
        <v>58</v>
      </c>
      <c r="X803" s="2" t="s">
        <v>59</v>
      </c>
      <c r="Y803" s="1">
        <v>269.99</v>
      </c>
      <c r="Z803" s="1">
        <v>269.99</v>
      </c>
      <c r="AA803" s="1">
        <v>27.99</v>
      </c>
      <c r="AB803" s="1">
        <v>13.5</v>
      </c>
      <c r="AC803" s="1">
        <v>0</v>
      </c>
      <c r="AD803" s="1">
        <v>38.251930000000002</v>
      </c>
      <c r="AE803" s="1">
        <v>311.48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30</v>
      </c>
      <c r="AN803" s="1">
        <v>4.2</v>
      </c>
      <c r="AO803" s="1">
        <v>4.7248250000000001</v>
      </c>
      <c r="AP803" s="1">
        <v>0.66147549999999999</v>
      </c>
      <c r="AQ803" s="1">
        <v>236.83332999999999</v>
      </c>
      <c r="AR803" s="1">
        <v>236.83332999999999</v>
      </c>
      <c r="AS803" s="1">
        <v>59.208329999999997</v>
      </c>
      <c r="AT803" s="1">
        <v>8.2891662000000004</v>
      </c>
      <c r="AU803" s="1">
        <v>0</v>
      </c>
      <c r="AV803" s="2" t="s">
        <v>69</v>
      </c>
      <c r="AW803" s="1">
        <v>162.90600000000001</v>
      </c>
      <c r="AX803" s="1">
        <f>Table1[[#This Row],[Original Commissionable GMV]]-Table1[[#This Row],[Commission ]]-Table1[[#This Row],[Commission VAT]]-Table1[[#This Row],[FreeDeliveryFund]]</f>
        <v>169.33583379999999</v>
      </c>
      <c r="AY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M803" s="2"/>
    </row>
    <row r="804" spans="12:65" x14ac:dyDescent="0.25">
      <c r="L804" s="2">
        <v>504016</v>
      </c>
      <c r="M804" s="2" t="s">
        <v>52</v>
      </c>
      <c r="N804" s="2">
        <v>505835</v>
      </c>
      <c r="O804" t="s">
        <v>63</v>
      </c>
      <c r="P804">
        <v>3421663785</v>
      </c>
      <c r="Q804" s="5">
        <v>46048.90425925926</v>
      </c>
      <c r="R804" s="2" t="s">
        <v>54</v>
      </c>
      <c r="S804" s="2" t="s">
        <v>51</v>
      </c>
      <c r="T804" s="2" t="s">
        <v>55</v>
      </c>
      <c r="U804" s="2" t="s">
        <v>56</v>
      </c>
      <c r="V804" s="2" t="s">
        <v>57</v>
      </c>
      <c r="W804" s="2" t="s">
        <v>58</v>
      </c>
      <c r="X804" s="2" t="s">
        <v>59</v>
      </c>
      <c r="Y804" s="1">
        <v>352</v>
      </c>
      <c r="Z804" s="1">
        <v>352</v>
      </c>
      <c r="AA804" s="1">
        <v>27.99</v>
      </c>
      <c r="AB804" s="1">
        <v>17.600000000000001</v>
      </c>
      <c r="AC804" s="1">
        <v>0</v>
      </c>
      <c r="AD804" s="1">
        <v>48.826839999999997</v>
      </c>
      <c r="AE804" s="1">
        <v>397.59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6.16</v>
      </c>
      <c r="AP804" s="1">
        <v>0.86240000000000006</v>
      </c>
      <c r="AQ804" s="1">
        <v>308.77193</v>
      </c>
      <c r="AR804" s="1">
        <v>308.77193</v>
      </c>
      <c r="AS804" s="1">
        <v>77.192980000000006</v>
      </c>
      <c r="AT804" s="1">
        <v>10.807017200000001</v>
      </c>
      <c r="AU804" s="1">
        <v>0</v>
      </c>
      <c r="AV804" s="2" t="s">
        <v>69</v>
      </c>
      <c r="AW804" s="1">
        <v>256.97800000000001</v>
      </c>
      <c r="AX804" s="1">
        <f>Table1[[#This Row],[Original Commissionable GMV]]-Table1[[#This Row],[Commission ]]-Table1[[#This Row],[Commission VAT]]-Table1[[#This Row],[FreeDeliveryFund]]</f>
        <v>220.7719328</v>
      </c>
      <c r="AY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M804" s="2"/>
    </row>
    <row r="805" spans="12:65" x14ac:dyDescent="0.25">
      <c r="L805" s="2">
        <v>504016</v>
      </c>
      <c r="M805" s="2" t="s">
        <v>52</v>
      </c>
      <c r="N805" s="2">
        <v>505837</v>
      </c>
      <c r="O805" t="s">
        <v>53</v>
      </c>
      <c r="P805">
        <v>3421736590</v>
      </c>
      <c r="Q805" s="5">
        <v>46048.938263888886</v>
      </c>
      <c r="R805" s="2" t="s">
        <v>54</v>
      </c>
      <c r="S805" s="2" t="s">
        <v>51</v>
      </c>
      <c r="T805" s="2" t="s">
        <v>55</v>
      </c>
      <c r="U805" s="2" t="s">
        <v>56</v>
      </c>
      <c r="V805" s="2" t="s">
        <v>57</v>
      </c>
      <c r="W805" s="2" t="s">
        <v>58</v>
      </c>
      <c r="X805" s="2" t="s">
        <v>59</v>
      </c>
      <c r="Y805" s="1">
        <v>710.98</v>
      </c>
      <c r="Z805" s="1">
        <v>710.98</v>
      </c>
      <c r="AA805" s="1">
        <v>39.99</v>
      </c>
      <c r="AB805" s="1">
        <v>29.99</v>
      </c>
      <c r="AC805" s="1">
        <v>0</v>
      </c>
      <c r="AD805" s="1">
        <v>95.90737</v>
      </c>
      <c r="AE805" s="1">
        <v>780.96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12.44215</v>
      </c>
      <c r="AP805" s="1">
        <v>1.7419009999999999</v>
      </c>
      <c r="AQ805" s="1">
        <v>623.66666999999995</v>
      </c>
      <c r="AR805" s="1">
        <v>623.66666999999995</v>
      </c>
      <c r="AS805" s="1">
        <v>155.91667000000001</v>
      </c>
      <c r="AT805" s="1">
        <v>21.828333799999999</v>
      </c>
      <c r="AU805" s="1">
        <v>0</v>
      </c>
      <c r="AV805" s="2" t="s">
        <v>69</v>
      </c>
      <c r="AW805" s="1">
        <v>519.05100000000004</v>
      </c>
      <c r="AX805" s="1">
        <f>Table1[[#This Row],[Original Commissionable GMV]]-Table1[[#This Row],[Commission ]]-Table1[[#This Row],[Commission VAT]]-Table1[[#This Row],[FreeDeliveryFund]]</f>
        <v>445.92166619999995</v>
      </c>
      <c r="AY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M805" s="2"/>
    </row>
    <row r="806" spans="12:65" x14ac:dyDescent="0.25">
      <c r="L806" s="2">
        <v>504016</v>
      </c>
      <c r="M806" s="2" t="s">
        <v>52</v>
      </c>
      <c r="N806" s="2">
        <v>505839</v>
      </c>
      <c r="O806" t="s">
        <v>53</v>
      </c>
      <c r="P806">
        <v>3421781123</v>
      </c>
      <c r="Q806" s="5">
        <v>46048.963449074072</v>
      </c>
      <c r="R806" s="2" t="s">
        <v>62</v>
      </c>
      <c r="S806" s="2" t="s">
        <v>61</v>
      </c>
      <c r="T806" s="2" t="s">
        <v>77</v>
      </c>
      <c r="U806" s="2" t="s">
        <v>59</v>
      </c>
      <c r="V806" s="2" t="s">
        <v>57</v>
      </c>
      <c r="W806" s="2" t="s">
        <v>58</v>
      </c>
      <c r="X806" s="2" t="s">
        <v>59</v>
      </c>
      <c r="Y806" s="1">
        <v>1022.49</v>
      </c>
      <c r="Z806" s="1">
        <v>1053.99</v>
      </c>
      <c r="AA806" s="1">
        <v>0</v>
      </c>
      <c r="AB806" s="1">
        <v>0</v>
      </c>
      <c r="AC806" s="1">
        <v>0</v>
      </c>
      <c r="AD806" s="1">
        <v>110.60245999999999</v>
      </c>
      <c r="AE806" s="1">
        <v>869.12</v>
      </c>
      <c r="AG806" s="1">
        <v>0</v>
      </c>
      <c r="AH806" s="1">
        <v>184.87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896.92105000000004</v>
      </c>
      <c r="AR806" s="1">
        <v>896.92105000000004</v>
      </c>
      <c r="AS806" s="1">
        <v>224.23025999999999</v>
      </c>
      <c r="AT806" s="1">
        <v>31.392236400000002</v>
      </c>
      <c r="AU806" s="1">
        <v>0</v>
      </c>
      <c r="AV806" s="2" t="s">
        <v>69</v>
      </c>
      <c r="AW806" s="1">
        <v>-255.62200000000001</v>
      </c>
      <c r="AX806" s="1">
        <f>Table1[[#This Row],[Original Commissionable GMV]]-Table1[[#This Row],[Commission ]]-Table1[[#This Row],[Commission VAT]]-Table1[[#This Row],[FreeDeliveryFund]]</f>
        <v>641.2985536000001</v>
      </c>
      <c r="AY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M806" s="2"/>
    </row>
    <row r="807" spans="12:65" x14ac:dyDescent="0.25">
      <c r="L807" s="2">
        <v>504016</v>
      </c>
      <c r="M807" s="2" t="s">
        <v>52</v>
      </c>
      <c r="N807" s="2">
        <v>505837</v>
      </c>
      <c r="O807" t="s">
        <v>63</v>
      </c>
      <c r="P807">
        <v>3422281154</v>
      </c>
      <c r="Q807" s="5">
        <v>46049.490659722222</v>
      </c>
      <c r="R807" s="2" t="s">
        <v>62</v>
      </c>
      <c r="S807" s="2" t="s">
        <v>51</v>
      </c>
      <c r="T807" s="2" t="s">
        <v>55</v>
      </c>
      <c r="U807" s="2" t="s">
        <v>59</v>
      </c>
      <c r="V807" s="2" t="s">
        <v>57</v>
      </c>
      <c r="W807" s="2" t="s">
        <v>58</v>
      </c>
      <c r="X807" s="2" t="s">
        <v>59</v>
      </c>
      <c r="Y807" s="1">
        <v>239.99</v>
      </c>
      <c r="Z807" s="1">
        <v>239.99</v>
      </c>
      <c r="AA807" s="1">
        <v>29.99</v>
      </c>
      <c r="AB807" s="1">
        <v>12</v>
      </c>
      <c r="AC807" s="1">
        <v>0</v>
      </c>
      <c r="AD807" s="1">
        <v>34.62912</v>
      </c>
      <c r="AE807" s="1">
        <v>281.98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210.51754</v>
      </c>
      <c r="AR807" s="1">
        <v>210.51754</v>
      </c>
      <c r="AS807" s="1">
        <v>52.629390000000001</v>
      </c>
      <c r="AT807" s="1">
        <v>7.3681146000000002</v>
      </c>
      <c r="AU807" s="1">
        <v>0</v>
      </c>
      <c r="AV807" s="2" t="s">
        <v>69</v>
      </c>
      <c r="AW807" s="1">
        <v>179.99199999999999</v>
      </c>
      <c r="AX807" s="1">
        <f>Table1[[#This Row],[Original Commissionable GMV]]-Table1[[#This Row],[Commission ]]-Table1[[#This Row],[Commission VAT]]-Table1[[#This Row],[FreeDeliveryFund]]</f>
        <v>150.52003539999998</v>
      </c>
      <c r="AY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M807" s="2"/>
    </row>
    <row r="808" spans="12:65" x14ac:dyDescent="0.25">
      <c r="L808" s="2">
        <v>504016</v>
      </c>
      <c r="M808" s="2" t="s">
        <v>52</v>
      </c>
      <c r="N808" s="2">
        <v>505837</v>
      </c>
      <c r="O808" t="s">
        <v>53</v>
      </c>
      <c r="P808">
        <v>3422517107</v>
      </c>
      <c r="Q808" s="5">
        <v>46049.590960648151</v>
      </c>
      <c r="R808" s="2" t="s">
        <v>54</v>
      </c>
      <c r="S808" s="2" t="s">
        <v>51</v>
      </c>
      <c r="T808" s="2" t="s">
        <v>55</v>
      </c>
      <c r="U808" s="2" t="s">
        <v>56</v>
      </c>
      <c r="V808" s="2" t="s">
        <v>57</v>
      </c>
      <c r="W808" s="2" t="s">
        <v>58</v>
      </c>
      <c r="X808" s="2" t="s">
        <v>59</v>
      </c>
      <c r="Y808" s="1">
        <v>1018.97</v>
      </c>
      <c r="Z808" s="1">
        <v>1018.97</v>
      </c>
      <c r="AA808" s="1">
        <v>33.99</v>
      </c>
      <c r="AB808" s="1">
        <v>29.99</v>
      </c>
      <c r="AC808" s="1">
        <v>0</v>
      </c>
      <c r="AD808" s="1">
        <v>132.99386000000001</v>
      </c>
      <c r="AE808" s="1">
        <v>1082.95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30</v>
      </c>
      <c r="AN808" s="1">
        <v>4.2</v>
      </c>
      <c r="AO808" s="1">
        <v>17.831975</v>
      </c>
      <c r="AP808" s="1">
        <v>2.4964765</v>
      </c>
      <c r="AQ808" s="1">
        <v>893.83333000000005</v>
      </c>
      <c r="AR808" s="1">
        <v>893.83333000000005</v>
      </c>
      <c r="AS808" s="1">
        <v>223.45832999999999</v>
      </c>
      <c r="AT808" s="1">
        <v>31.284166200000001</v>
      </c>
      <c r="AU808" s="1">
        <v>0</v>
      </c>
      <c r="AV808" s="2" t="s">
        <v>69</v>
      </c>
      <c r="AW808" s="1">
        <v>709.69899999999996</v>
      </c>
      <c r="AX808" s="1">
        <f>Table1[[#This Row],[Original Commissionable GMV]]-Table1[[#This Row],[Commission ]]-Table1[[#This Row],[Commission VAT]]-Table1[[#This Row],[FreeDeliveryFund]]</f>
        <v>639.09083380000004</v>
      </c>
      <c r="AY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M808" s="2"/>
    </row>
    <row r="809" spans="12:65" x14ac:dyDescent="0.25">
      <c r="L809" s="2">
        <v>504016</v>
      </c>
      <c r="M809" s="2" t="s">
        <v>52</v>
      </c>
      <c r="N809" s="2">
        <v>505839</v>
      </c>
      <c r="O809" t="s">
        <v>53</v>
      </c>
      <c r="P809">
        <v>3422518570</v>
      </c>
      <c r="Q809" s="5">
        <v>46049.591585648152</v>
      </c>
      <c r="R809" s="2" t="s">
        <v>54</v>
      </c>
      <c r="S809" s="2" t="s">
        <v>51</v>
      </c>
      <c r="T809" s="2" t="s">
        <v>55</v>
      </c>
      <c r="U809" s="2" t="s">
        <v>56</v>
      </c>
      <c r="V809" s="2" t="s">
        <v>57</v>
      </c>
      <c r="W809" s="2" t="s">
        <v>58</v>
      </c>
      <c r="X809" s="2" t="s">
        <v>59</v>
      </c>
      <c r="Y809" s="1">
        <v>940.53</v>
      </c>
      <c r="Z809" s="1">
        <v>940.53</v>
      </c>
      <c r="AA809" s="1">
        <v>0</v>
      </c>
      <c r="AB809" s="1">
        <v>29.99</v>
      </c>
      <c r="AC809" s="1">
        <v>0</v>
      </c>
      <c r="AD809" s="1">
        <v>119.18667000000001</v>
      </c>
      <c r="AE809" s="1">
        <v>970.52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16.459275000000002</v>
      </c>
      <c r="AP809" s="1">
        <v>2.3042984999999998</v>
      </c>
      <c r="AQ809" s="1">
        <v>825.02632000000006</v>
      </c>
      <c r="AR809" s="1">
        <v>825.02632000000006</v>
      </c>
      <c r="AS809" s="1">
        <v>206.25658000000001</v>
      </c>
      <c r="AT809" s="1">
        <v>28.875921200000001</v>
      </c>
      <c r="AU809" s="1">
        <v>30.99</v>
      </c>
      <c r="AV809" s="2" t="s">
        <v>60</v>
      </c>
      <c r="AW809" s="1">
        <v>655.64400000000001</v>
      </c>
      <c r="AX809" s="1">
        <f>Table1[[#This Row],[Original Commissionable GMV]]-Table1[[#This Row],[Commission ]]-Table1[[#This Row],[Commission VAT]]-Table1[[#This Row],[FreeDeliveryFund]]</f>
        <v>558.90381880000007</v>
      </c>
      <c r="AY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M809" s="2"/>
    </row>
    <row r="810" spans="12:65" x14ac:dyDescent="0.25">
      <c r="L810" s="2">
        <v>504016</v>
      </c>
      <c r="M810" s="2" t="s">
        <v>52</v>
      </c>
      <c r="N810" s="2">
        <v>505837</v>
      </c>
      <c r="O810" t="s">
        <v>63</v>
      </c>
      <c r="P810">
        <v>3422525691</v>
      </c>
      <c r="Q810" s="5">
        <v>46049.594537037039</v>
      </c>
      <c r="R810" s="2" t="s">
        <v>54</v>
      </c>
      <c r="S810" s="2" t="s">
        <v>51</v>
      </c>
      <c r="T810" s="2" t="s">
        <v>55</v>
      </c>
      <c r="U810" s="2" t="s">
        <v>59</v>
      </c>
      <c r="V810" s="2" t="s">
        <v>57</v>
      </c>
      <c r="W810" s="2" t="s">
        <v>58</v>
      </c>
      <c r="X810" s="2" t="s">
        <v>59</v>
      </c>
      <c r="Y810" s="1">
        <v>352.99</v>
      </c>
      <c r="Z810" s="1">
        <v>352.99</v>
      </c>
      <c r="AA810" s="1">
        <v>7</v>
      </c>
      <c r="AB810" s="1">
        <v>17.649999999999999</v>
      </c>
      <c r="AC810" s="1">
        <v>0</v>
      </c>
      <c r="AD810" s="1">
        <v>46.376840000000001</v>
      </c>
      <c r="AE810" s="1">
        <v>377.64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6.1773249999999997</v>
      </c>
      <c r="AP810" s="1">
        <v>0.86482550000000002</v>
      </c>
      <c r="AQ810" s="1">
        <v>309.64035000000001</v>
      </c>
      <c r="AR810" s="1">
        <v>309.64035000000001</v>
      </c>
      <c r="AS810" s="1">
        <v>77.410089999999997</v>
      </c>
      <c r="AT810" s="1">
        <v>10.8374126</v>
      </c>
      <c r="AU810" s="1">
        <v>28.99</v>
      </c>
      <c r="AV810" s="2" t="s">
        <v>60</v>
      </c>
      <c r="AW810" s="1">
        <v>228.71</v>
      </c>
      <c r="AX810" s="1">
        <f>Table1[[#This Row],[Original Commissionable GMV]]-Table1[[#This Row],[Commission ]]-Table1[[#This Row],[Commission VAT]]-Table1[[#This Row],[FreeDeliveryFund]]</f>
        <v>192.40284740000001</v>
      </c>
      <c r="AY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M810" s="2"/>
    </row>
    <row r="811" spans="12:65" x14ac:dyDescent="0.25">
      <c r="L811" s="2">
        <v>504016</v>
      </c>
      <c r="M811" s="2" t="s">
        <v>52</v>
      </c>
      <c r="N811" s="2">
        <v>505839</v>
      </c>
      <c r="O811" t="s">
        <v>65</v>
      </c>
      <c r="P811">
        <v>3422547517</v>
      </c>
      <c r="Q811" s="5">
        <v>46049.603518518517</v>
      </c>
      <c r="R811" s="2" t="s">
        <v>54</v>
      </c>
      <c r="S811" s="2" t="s">
        <v>51</v>
      </c>
      <c r="T811" s="2" t="s">
        <v>55</v>
      </c>
      <c r="U811" s="2" t="s">
        <v>56</v>
      </c>
      <c r="V811" s="2" t="s">
        <v>57</v>
      </c>
      <c r="W811" s="2" t="s">
        <v>58</v>
      </c>
      <c r="X811" s="2" t="s">
        <v>59</v>
      </c>
      <c r="Y811" s="1">
        <v>1306.46</v>
      </c>
      <c r="Z811" s="1">
        <v>1306.46</v>
      </c>
      <c r="AA811" s="1">
        <v>28.99</v>
      </c>
      <c r="AB811" s="1">
        <v>29.99</v>
      </c>
      <c r="AC811" s="1">
        <v>0</v>
      </c>
      <c r="AD811" s="1">
        <v>167.68561</v>
      </c>
      <c r="AE811" s="1">
        <v>1365.44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22.863048249999999</v>
      </c>
      <c r="AP811" s="1">
        <v>3.200826755</v>
      </c>
      <c r="AQ811" s="1">
        <v>1146.0175400000001</v>
      </c>
      <c r="AR811" s="1">
        <v>1146.0175400000001</v>
      </c>
      <c r="AS811" s="1">
        <v>286.50439</v>
      </c>
      <c r="AT811" s="1">
        <v>40.110614599999998</v>
      </c>
      <c r="AU811" s="1">
        <v>0</v>
      </c>
      <c r="AV811" s="2" t="s">
        <v>69</v>
      </c>
      <c r="AW811" s="1">
        <v>953.78099999999995</v>
      </c>
      <c r="AX811" s="1">
        <f>Table1[[#This Row],[Original Commissionable GMV]]-Table1[[#This Row],[Commission ]]-Table1[[#This Row],[Commission VAT]]-Table1[[#This Row],[FreeDeliveryFund]]</f>
        <v>819.40253540000003</v>
      </c>
      <c r="AY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M811" s="2"/>
    </row>
    <row r="812" spans="12:65" x14ac:dyDescent="0.25">
      <c r="L812" s="2">
        <v>504016</v>
      </c>
      <c r="M812" s="2" t="s">
        <v>52</v>
      </c>
      <c r="N812" s="2">
        <v>505839</v>
      </c>
      <c r="O812" t="s">
        <v>53</v>
      </c>
      <c r="P812">
        <v>3422598941</v>
      </c>
      <c r="Q812" s="5">
        <v>46049.624606481484</v>
      </c>
      <c r="R812" s="2" t="s">
        <v>54</v>
      </c>
      <c r="S812" s="2" t="s">
        <v>51</v>
      </c>
      <c r="T812" s="2" t="s">
        <v>55</v>
      </c>
      <c r="U812" s="2" t="s">
        <v>56</v>
      </c>
      <c r="V812" s="2" t="s">
        <v>57</v>
      </c>
      <c r="W812" s="2" t="s">
        <v>58</v>
      </c>
      <c r="X812" s="2" t="s">
        <v>59</v>
      </c>
      <c r="Y812" s="1">
        <v>835.64</v>
      </c>
      <c r="Z812" s="1">
        <v>835.64</v>
      </c>
      <c r="AA812" s="1">
        <v>41.99</v>
      </c>
      <c r="AB812" s="1">
        <v>29.99</v>
      </c>
      <c r="AC812" s="1">
        <v>0</v>
      </c>
      <c r="AD812" s="1">
        <v>111.46211</v>
      </c>
      <c r="AE812" s="1">
        <v>907.62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14.623699999999999</v>
      </c>
      <c r="AP812" s="1">
        <v>2.0473180000000002</v>
      </c>
      <c r="AQ812" s="1">
        <v>733.01754000000005</v>
      </c>
      <c r="AR812" s="1">
        <v>733.01754000000005</v>
      </c>
      <c r="AS812" s="1">
        <v>183.25439</v>
      </c>
      <c r="AT812" s="1">
        <v>25.6556146</v>
      </c>
      <c r="AU812" s="1">
        <v>0</v>
      </c>
      <c r="AV812" s="2" t="s">
        <v>69</v>
      </c>
      <c r="AW812" s="1">
        <v>610.05899999999997</v>
      </c>
      <c r="AX812" s="1">
        <f>Table1[[#This Row],[Original Commissionable GMV]]-Table1[[#This Row],[Commission ]]-Table1[[#This Row],[Commission VAT]]-Table1[[#This Row],[FreeDeliveryFund]]</f>
        <v>524.10753539999996</v>
      </c>
      <c r="AY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M812" s="2"/>
    </row>
    <row r="813" spans="12:65" x14ac:dyDescent="0.25">
      <c r="L813" s="2">
        <v>504016</v>
      </c>
      <c r="M813" s="2" t="s">
        <v>52</v>
      </c>
      <c r="N813" s="2">
        <v>505837</v>
      </c>
      <c r="O813" t="s">
        <v>53</v>
      </c>
      <c r="P813">
        <v>3422688084</v>
      </c>
      <c r="Q813" s="5">
        <v>46049.65902777778</v>
      </c>
      <c r="R813" s="2" t="s">
        <v>54</v>
      </c>
      <c r="S813" s="2" t="s">
        <v>51</v>
      </c>
      <c r="T813" s="2" t="s">
        <v>55</v>
      </c>
      <c r="U813" s="2" t="s">
        <v>59</v>
      </c>
      <c r="V813" s="2" t="s">
        <v>57</v>
      </c>
      <c r="W813" s="2" t="s">
        <v>58</v>
      </c>
      <c r="X813" s="2" t="s">
        <v>59</v>
      </c>
      <c r="Y813" s="1">
        <v>615.97</v>
      </c>
      <c r="Z813" s="1">
        <v>615.97</v>
      </c>
      <c r="AA813" s="1">
        <v>38.99</v>
      </c>
      <c r="AB813" s="1">
        <v>29.99</v>
      </c>
      <c r="AC813" s="1">
        <v>0</v>
      </c>
      <c r="AD813" s="1">
        <v>84.116669999999999</v>
      </c>
      <c r="AE813" s="1">
        <v>684.95</v>
      </c>
      <c r="AG813" s="1">
        <v>0</v>
      </c>
      <c r="AH813" s="1">
        <v>0</v>
      </c>
      <c r="AI813" s="1">
        <v>0</v>
      </c>
      <c r="AJ813" s="1">
        <v>117.6</v>
      </c>
      <c r="AK813" s="1">
        <v>0</v>
      </c>
      <c r="AL813" s="1">
        <v>0</v>
      </c>
      <c r="AM813" s="1">
        <v>30</v>
      </c>
      <c r="AN813" s="1">
        <v>4.2</v>
      </c>
      <c r="AO813" s="1">
        <v>10.779475</v>
      </c>
      <c r="AP813" s="1">
        <v>1.5091265</v>
      </c>
      <c r="AQ813" s="1">
        <v>540.32456000000002</v>
      </c>
      <c r="AR813" s="1">
        <v>540.32456000000002</v>
      </c>
      <c r="AS813" s="1">
        <v>135.08114</v>
      </c>
      <c r="AT813" s="1">
        <v>18.911359600000001</v>
      </c>
      <c r="AU813" s="1">
        <v>0</v>
      </c>
      <c r="AV813" s="2" t="s">
        <v>69</v>
      </c>
      <c r="AW813" s="1">
        <v>415.48899999999998</v>
      </c>
      <c r="AX813" s="1">
        <f>Table1[[#This Row],[Original Commissionable GMV]]-Table1[[#This Row],[Commission ]]-Table1[[#This Row],[Commission VAT]]-Table1[[#This Row],[FreeDeliveryFund]]</f>
        <v>386.33206039999999</v>
      </c>
      <c r="AY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M813" s="2"/>
    </row>
    <row r="814" spans="12:65" x14ac:dyDescent="0.25">
      <c r="L814" s="2">
        <v>504016</v>
      </c>
      <c r="M814" s="2" t="s">
        <v>52</v>
      </c>
      <c r="N814" s="2">
        <v>505839</v>
      </c>
      <c r="O814" t="s">
        <v>63</v>
      </c>
      <c r="P814">
        <v>3422724761</v>
      </c>
      <c r="Q814" s="5">
        <v>46049.672662037039</v>
      </c>
      <c r="R814" s="2" t="s">
        <v>62</v>
      </c>
      <c r="S814" s="2" t="s">
        <v>51</v>
      </c>
      <c r="T814" s="2" t="s">
        <v>55</v>
      </c>
      <c r="U814" s="2" t="s">
        <v>59</v>
      </c>
      <c r="V814" s="2" t="s">
        <v>57</v>
      </c>
      <c r="W814" s="2" t="s">
        <v>58</v>
      </c>
      <c r="X814" s="2" t="s">
        <v>59</v>
      </c>
      <c r="Y814" s="1">
        <v>275.99</v>
      </c>
      <c r="Z814" s="1">
        <v>275.99</v>
      </c>
      <c r="AA814" s="1">
        <v>27.99</v>
      </c>
      <c r="AB814" s="1">
        <v>13.8</v>
      </c>
      <c r="AC814" s="1">
        <v>0</v>
      </c>
      <c r="AD814" s="1">
        <v>39.02561</v>
      </c>
      <c r="AE814" s="1">
        <v>317.77999999999997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242.09648999999999</v>
      </c>
      <c r="AR814" s="1">
        <v>242.09648999999999</v>
      </c>
      <c r="AS814" s="1">
        <v>60.524120000000003</v>
      </c>
      <c r="AT814" s="1">
        <v>8.4733768000000005</v>
      </c>
      <c r="AU814" s="1">
        <v>0</v>
      </c>
      <c r="AV814" s="2" t="s">
        <v>69</v>
      </c>
      <c r="AW814" s="1">
        <v>206.99299999999999</v>
      </c>
      <c r="AX814" s="1">
        <f>Table1[[#This Row],[Original Commissionable GMV]]-Table1[[#This Row],[Commission ]]-Table1[[#This Row],[Commission VAT]]-Table1[[#This Row],[FreeDeliveryFund]]</f>
        <v>173.09899319999997</v>
      </c>
      <c r="AY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M814" s="2"/>
    </row>
    <row r="815" spans="12:65" x14ac:dyDescent="0.25">
      <c r="L815" s="2">
        <v>504016</v>
      </c>
      <c r="M815" s="2" t="s">
        <v>52</v>
      </c>
      <c r="N815" s="2">
        <v>505839</v>
      </c>
      <c r="O815" t="s">
        <v>63</v>
      </c>
      <c r="P815">
        <v>3422729462</v>
      </c>
      <c r="Q815" s="5">
        <v>46049.674375000002</v>
      </c>
      <c r="R815" s="2" t="s">
        <v>54</v>
      </c>
      <c r="S815" s="2" t="s">
        <v>51</v>
      </c>
      <c r="T815" s="2" t="s">
        <v>55</v>
      </c>
      <c r="U815" s="2" t="s">
        <v>59</v>
      </c>
      <c r="V815" s="2" t="s">
        <v>57</v>
      </c>
      <c r="W815" s="2" t="s">
        <v>58</v>
      </c>
      <c r="X815" s="2" t="s">
        <v>59</v>
      </c>
      <c r="Y815" s="1">
        <v>319.99</v>
      </c>
      <c r="Z815" s="1">
        <v>319.99</v>
      </c>
      <c r="AA815" s="1">
        <v>33.99</v>
      </c>
      <c r="AB815" s="1">
        <v>16</v>
      </c>
      <c r="AC815" s="1">
        <v>0</v>
      </c>
      <c r="AD815" s="1">
        <v>45.436140000000002</v>
      </c>
      <c r="AE815" s="1">
        <v>369.98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300</v>
      </c>
      <c r="AM815" s="1">
        <v>0</v>
      </c>
      <c r="AN815" s="1">
        <v>0</v>
      </c>
      <c r="AO815" s="1">
        <v>5.5998250000000001</v>
      </c>
      <c r="AP815" s="1">
        <v>0.78397550000000005</v>
      </c>
      <c r="AQ815" s="1">
        <v>280.69297999999998</v>
      </c>
      <c r="AR815" s="1">
        <v>280.69297999999998</v>
      </c>
      <c r="AS815" s="1">
        <v>70.173249999999996</v>
      </c>
      <c r="AT815" s="1">
        <v>9.8242550000000008</v>
      </c>
      <c r="AU815" s="1">
        <v>0</v>
      </c>
      <c r="AV815" s="2" t="s">
        <v>69</v>
      </c>
      <c r="AW815" s="1">
        <v>233.60900000000001</v>
      </c>
      <c r="AX815" s="1">
        <f>Table1[[#This Row],[Original Commissionable GMV]]-Table1[[#This Row],[Commission ]]-Table1[[#This Row],[Commission VAT]]-Table1[[#This Row],[FreeDeliveryFund]]</f>
        <v>200.69547499999999</v>
      </c>
      <c r="AY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M815" s="2"/>
    </row>
    <row r="816" spans="12:65" x14ac:dyDescent="0.25">
      <c r="L816" s="2">
        <v>504016</v>
      </c>
      <c r="M816" s="2" t="s">
        <v>52</v>
      </c>
      <c r="N816" s="2">
        <v>505835</v>
      </c>
      <c r="O816" t="s">
        <v>63</v>
      </c>
      <c r="P816">
        <v>3422956626</v>
      </c>
      <c r="Q816" s="5">
        <v>46049.745462962965</v>
      </c>
      <c r="R816" s="2" t="s">
        <v>54</v>
      </c>
      <c r="S816" s="2" t="s">
        <v>51</v>
      </c>
      <c r="T816" s="2" t="s">
        <v>55</v>
      </c>
      <c r="U816" s="2" t="s">
        <v>59</v>
      </c>
      <c r="V816" s="2" t="s">
        <v>57</v>
      </c>
      <c r="W816" s="2" t="s">
        <v>58</v>
      </c>
      <c r="X816" s="2" t="s">
        <v>59</v>
      </c>
      <c r="Y816" s="1">
        <v>203.99</v>
      </c>
      <c r="Z816" s="1">
        <v>239.99</v>
      </c>
      <c r="AA816" s="1">
        <v>0</v>
      </c>
      <c r="AB816" s="1">
        <v>12</v>
      </c>
      <c r="AC816" s="1">
        <v>0</v>
      </c>
      <c r="AD816" s="1">
        <v>30.94614</v>
      </c>
      <c r="AE816" s="1">
        <v>215.99</v>
      </c>
      <c r="AG816" s="1">
        <v>0</v>
      </c>
      <c r="AH816" s="1">
        <v>36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3.5698249999999998</v>
      </c>
      <c r="AP816" s="1">
        <v>0.49977549999999998</v>
      </c>
      <c r="AQ816" s="1">
        <v>178.93860000000001</v>
      </c>
      <c r="AR816" s="1">
        <v>178.93860000000001</v>
      </c>
      <c r="AS816" s="1">
        <v>44.734650000000002</v>
      </c>
      <c r="AT816" s="1">
        <v>6.2628510000000004</v>
      </c>
      <c r="AU816" s="1">
        <v>27.99</v>
      </c>
      <c r="AV816" s="2" t="s">
        <v>60</v>
      </c>
      <c r="AW816" s="1">
        <v>120.93300000000001</v>
      </c>
      <c r="AX816" s="1">
        <f>Table1[[#This Row],[Original Commissionable GMV]]-Table1[[#This Row],[Commission ]]-Table1[[#This Row],[Commission VAT]]-Table1[[#This Row],[FreeDeliveryFund]]</f>
        <v>99.951099000000028</v>
      </c>
      <c r="AY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M816" s="2"/>
    </row>
    <row r="817" spans="12:65" x14ac:dyDescent="0.25">
      <c r="L817" s="2">
        <v>504016</v>
      </c>
      <c r="M817" s="2" t="s">
        <v>52</v>
      </c>
      <c r="N817" s="2">
        <v>505839</v>
      </c>
      <c r="O817" t="s">
        <v>65</v>
      </c>
      <c r="P817">
        <v>3423024736</v>
      </c>
      <c r="Q817" s="5">
        <v>46049.764687499999</v>
      </c>
      <c r="R817" s="2" t="s">
        <v>62</v>
      </c>
      <c r="S817" s="2" t="s">
        <v>51</v>
      </c>
      <c r="T817" s="2" t="s">
        <v>55</v>
      </c>
      <c r="U817" s="2" t="s">
        <v>59</v>
      </c>
      <c r="V817" s="2" t="s">
        <v>57</v>
      </c>
      <c r="W817" s="2" t="s">
        <v>58</v>
      </c>
      <c r="X817" s="2" t="s">
        <v>59</v>
      </c>
      <c r="Y817" s="1">
        <v>426.82</v>
      </c>
      <c r="Z817" s="1">
        <v>426.82</v>
      </c>
      <c r="AA817" s="1">
        <v>0</v>
      </c>
      <c r="AB817" s="1">
        <v>21.34</v>
      </c>
      <c r="AC817" s="1">
        <v>0</v>
      </c>
      <c r="AD817" s="1">
        <v>55.037190000000002</v>
      </c>
      <c r="AE817" s="1">
        <v>448.16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374.40350999999998</v>
      </c>
      <c r="AR817" s="1">
        <v>374.40350999999998</v>
      </c>
      <c r="AS817" s="1">
        <v>93.600880000000004</v>
      </c>
      <c r="AT817" s="1">
        <v>13.1041232</v>
      </c>
      <c r="AU817" s="1">
        <v>30.99</v>
      </c>
      <c r="AV817" s="2" t="s">
        <v>60</v>
      </c>
      <c r="AW817" s="1">
        <v>289.125</v>
      </c>
      <c r="AX817" s="1">
        <f>Table1[[#This Row],[Original Commissionable GMV]]-Table1[[#This Row],[Commission ]]-Table1[[#This Row],[Commission VAT]]-Table1[[#This Row],[FreeDeliveryFund]]</f>
        <v>236.70850679999995</v>
      </c>
      <c r="AY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M817" s="2"/>
    </row>
    <row r="818" spans="12:65" x14ac:dyDescent="0.25">
      <c r="L818" s="2">
        <v>504016</v>
      </c>
      <c r="M818" s="2" t="s">
        <v>52</v>
      </c>
      <c r="N818" s="2">
        <v>505839</v>
      </c>
      <c r="O818" t="s">
        <v>63</v>
      </c>
      <c r="P818">
        <v>3423034349</v>
      </c>
      <c r="Q818" s="5">
        <v>46049.767337962963</v>
      </c>
      <c r="R818" s="2" t="s">
        <v>54</v>
      </c>
      <c r="S818" s="2" t="s">
        <v>51</v>
      </c>
      <c r="T818" s="2" t="s">
        <v>55</v>
      </c>
      <c r="U818" s="2" t="s">
        <v>56</v>
      </c>
      <c r="V818" s="2" t="s">
        <v>57</v>
      </c>
      <c r="W818" s="2" t="s">
        <v>58</v>
      </c>
      <c r="X818" s="2" t="s">
        <v>59</v>
      </c>
      <c r="Y818" s="1">
        <v>117.86</v>
      </c>
      <c r="Z818" s="1">
        <v>117.86</v>
      </c>
      <c r="AA818" s="1">
        <v>28.99</v>
      </c>
      <c r="AB818" s="1">
        <v>5.89</v>
      </c>
      <c r="AC818" s="1">
        <v>0</v>
      </c>
      <c r="AD818" s="1">
        <v>18.757539999999999</v>
      </c>
      <c r="AE818" s="1">
        <v>152.74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2.0625499999999999</v>
      </c>
      <c r="AP818" s="1">
        <v>0.28875699999999999</v>
      </c>
      <c r="AQ818" s="1">
        <v>103.38596</v>
      </c>
      <c r="AR818" s="1">
        <v>103.38596</v>
      </c>
      <c r="AS818" s="1">
        <v>25.846489999999999</v>
      </c>
      <c r="AT818" s="1">
        <v>3.6185086000000002</v>
      </c>
      <c r="AU818" s="1">
        <v>0</v>
      </c>
      <c r="AV818" s="2" t="s">
        <v>69</v>
      </c>
      <c r="AW818" s="1">
        <v>86.043999999999997</v>
      </c>
      <c r="AX818" s="1">
        <f>Table1[[#This Row],[Original Commissionable GMV]]-Table1[[#This Row],[Commission ]]-Table1[[#This Row],[Commission VAT]]-Table1[[#This Row],[FreeDeliveryFund]]</f>
        <v>73.920961399999996</v>
      </c>
      <c r="AY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M818" s="2"/>
    </row>
    <row r="819" spans="12:65" x14ac:dyDescent="0.25">
      <c r="L819" s="2">
        <v>504016</v>
      </c>
      <c r="M819" s="2" t="s">
        <v>52</v>
      </c>
      <c r="N819" s="2">
        <v>505839</v>
      </c>
      <c r="O819" t="s">
        <v>65</v>
      </c>
      <c r="P819">
        <v>3423043318</v>
      </c>
      <c r="Q819" s="5">
        <v>46049.769837962966</v>
      </c>
      <c r="R819" s="2" t="s">
        <v>54</v>
      </c>
      <c r="S819" s="2" t="s">
        <v>51</v>
      </c>
      <c r="T819" s="2" t="s">
        <v>55</v>
      </c>
      <c r="U819" s="2" t="s">
        <v>56</v>
      </c>
      <c r="V819" s="2" t="s">
        <v>57</v>
      </c>
      <c r="W819" s="2" t="s">
        <v>58</v>
      </c>
      <c r="X819" s="2" t="s">
        <v>59</v>
      </c>
      <c r="Y819" s="1">
        <v>352.99</v>
      </c>
      <c r="Z819" s="1">
        <v>352.99</v>
      </c>
      <c r="AA819" s="1">
        <v>0</v>
      </c>
      <c r="AB819" s="1">
        <v>17.649999999999999</v>
      </c>
      <c r="AC819" s="1">
        <v>0</v>
      </c>
      <c r="AD819" s="1">
        <v>45.517189999999999</v>
      </c>
      <c r="AE819" s="1">
        <v>370.64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6.1773249999999997</v>
      </c>
      <c r="AP819" s="1">
        <v>0.86482550000000002</v>
      </c>
      <c r="AQ819" s="1">
        <v>309.64035000000001</v>
      </c>
      <c r="AR819" s="1">
        <v>309.64035000000001</v>
      </c>
      <c r="AS819" s="1">
        <v>77.410089999999997</v>
      </c>
      <c r="AT819" s="1">
        <v>10.8374126</v>
      </c>
      <c r="AU819" s="1">
        <v>28.99</v>
      </c>
      <c r="AV819" s="2" t="s">
        <v>60</v>
      </c>
      <c r="AW819" s="1">
        <v>228.71</v>
      </c>
      <c r="AX819" s="1">
        <f>Table1[[#This Row],[Original Commissionable GMV]]-Table1[[#This Row],[Commission ]]-Table1[[#This Row],[Commission VAT]]-Table1[[#This Row],[FreeDeliveryFund]]</f>
        <v>192.40284740000001</v>
      </c>
      <c r="AY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M819" s="2"/>
    </row>
    <row r="820" spans="12:65" x14ac:dyDescent="0.25">
      <c r="L820" s="2">
        <v>504016</v>
      </c>
      <c r="M820" s="2" t="s">
        <v>52</v>
      </c>
      <c r="N820" s="2">
        <v>505839</v>
      </c>
      <c r="O820" t="s">
        <v>53</v>
      </c>
      <c r="P820">
        <v>3423057389</v>
      </c>
      <c r="Q820" s="5">
        <v>46049.77380787037</v>
      </c>
      <c r="R820" s="2" t="s">
        <v>54</v>
      </c>
      <c r="S820" s="2" t="s">
        <v>51</v>
      </c>
      <c r="T820" s="2" t="s">
        <v>55</v>
      </c>
      <c r="U820" s="2" t="s">
        <v>56</v>
      </c>
      <c r="V820" s="2" t="s">
        <v>57</v>
      </c>
      <c r="W820" s="2" t="s">
        <v>58</v>
      </c>
      <c r="X820" s="2" t="s">
        <v>59</v>
      </c>
      <c r="Y820" s="1">
        <v>639.98</v>
      </c>
      <c r="Z820" s="1">
        <v>639.98</v>
      </c>
      <c r="AA820" s="1">
        <v>0</v>
      </c>
      <c r="AB820" s="1">
        <v>29.99</v>
      </c>
      <c r="AC820" s="1">
        <v>0</v>
      </c>
      <c r="AD820" s="1">
        <v>82.277019999999993</v>
      </c>
      <c r="AE820" s="1">
        <v>669.97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11.19965</v>
      </c>
      <c r="AP820" s="1">
        <v>1.5679510000000001</v>
      </c>
      <c r="AQ820" s="1">
        <v>561.38595999999995</v>
      </c>
      <c r="AR820" s="1">
        <v>561.38595999999995</v>
      </c>
      <c r="AS820" s="1">
        <v>140.34648999999999</v>
      </c>
      <c r="AT820" s="1">
        <v>19.6485086</v>
      </c>
      <c r="AU820" s="1">
        <v>33.99</v>
      </c>
      <c r="AV820" s="2" t="s">
        <v>60</v>
      </c>
      <c r="AW820" s="1">
        <v>433.22699999999998</v>
      </c>
      <c r="AX820" s="1">
        <f>Table1[[#This Row],[Original Commissionable GMV]]-Table1[[#This Row],[Commission ]]-Table1[[#This Row],[Commission VAT]]-Table1[[#This Row],[FreeDeliveryFund]]</f>
        <v>367.40096139999991</v>
      </c>
      <c r="AY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M820" s="2"/>
    </row>
    <row r="821" spans="12:65" x14ac:dyDescent="0.25">
      <c r="L821" s="2">
        <v>504016</v>
      </c>
      <c r="M821" s="2" t="s">
        <v>52</v>
      </c>
      <c r="N821" s="2">
        <v>505835</v>
      </c>
      <c r="O821" t="s">
        <v>63</v>
      </c>
      <c r="P821">
        <v>3423174998</v>
      </c>
      <c r="Q821" s="5">
        <v>46049.807291666664</v>
      </c>
      <c r="R821" s="2" t="s">
        <v>54</v>
      </c>
      <c r="S821" s="2" t="s">
        <v>51</v>
      </c>
      <c r="T821" s="2" t="s">
        <v>55</v>
      </c>
      <c r="U821" s="2" t="s">
        <v>56</v>
      </c>
      <c r="V821" s="2" t="s">
        <v>57</v>
      </c>
      <c r="W821" s="2" t="s">
        <v>58</v>
      </c>
      <c r="X821" s="2" t="s">
        <v>59</v>
      </c>
      <c r="Y821" s="1">
        <v>558.99</v>
      </c>
      <c r="Z821" s="1">
        <v>594.99</v>
      </c>
      <c r="AA821" s="1">
        <v>0</v>
      </c>
      <c r="AB821" s="1">
        <v>29.75</v>
      </c>
      <c r="AC821" s="1">
        <v>0</v>
      </c>
      <c r="AD821" s="1">
        <v>76.722459999999998</v>
      </c>
      <c r="AE821" s="1">
        <v>588.74</v>
      </c>
      <c r="AG821" s="1">
        <v>0</v>
      </c>
      <c r="AH821" s="1">
        <v>36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9.7823250000000002</v>
      </c>
      <c r="AP821" s="1">
        <v>1.3695255</v>
      </c>
      <c r="AQ821" s="1">
        <v>490.34210999999999</v>
      </c>
      <c r="AR821" s="1">
        <v>490.34210999999999</v>
      </c>
      <c r="AS821" s="1">
        <v>122.58553000000001</v>
      </c>
      <c r="AT821" s="1">
        <v>17.1619742</v>
      </c>
      <c r="AU821" s="1">
        <v>28.99</v>
      </c>
      <c r="AV821" s="2" t="s">
        <v>60</v>
      </c>
      <c r="AW821" s="1">
        <v>379.101</v>
      </c>
      <c r="AX821" s="1">
        <f>Table1[[#This Row],[Original Commissionable GMV]]-Table1[[#This Row],[Commission ]]-Table1[[#This Row],[Commission VAT]]-Table1[[#This Row],[FreeDeliveryFund]]</f>
        <v>321.6046058</v>
      </c>
      <c r="AY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M821" s="2"/>
    </row>
    <row r="822" spans="12:65" x14ac:dyDescent="0.25">
      <c r="L822" s="2">
        <v>504016</v>
      </c>
      <c r="M822" s="2" t="s">
        <v>52</v>
      </c>
      <c r="N822" s="2">
        <v>505837</v>
      </c>
      <c r="O822" t="s">
        <v>63</v>
      </c>
      <c r="P822">
        <v>3423249887</v>
      </c>
      <c r="Q822" s="5">
        <v>46049.829398148147</v>
      </c>
      <c r="R822" s="2" t="s">
        <v>54</v>
      </c>
      <c r="S822" s="2" t="s">
        <v>51</v>
      </c>
      <c r="T822" s="2" t="s">
        <v>55</v>
      </c>
      <c r="U822" s="2" t="s">
        <v>56</v>
      </c>
      <c r="V822" s="2" t="s">
        <v>57</v>
      </c>
      <c r="W822" s="2" t="s">
        <v>58</v>
      </c>
      <c r="X822" s="2" t="s">
        <v>59</v>
      </c>
      <c r="Y822" s="1">
        <v>352</v>
      </c>
      <c r="Z822" s="1">
        <v>352</v>
      </c>
      <c r="AA822" s="1">
        <v>27.99</v>
      </c>
      <c r="AB822" s="1">
        <v>17.600000000000001</v>
      </c>
      <c r="AC822" s="1">
        <v>0</v>
      </c>
      <c r="AD822" s="1">
        <v>48.826839999999997</v>
      </c>
      <c r="AE822" s="1">
        <v>397.59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6.16</v>
      </c>
      <c r="AP822" s="1">
        <v>0.86240000000000006</v>
      </c>
      <c r="AQ822" s="1">
        <v>308.77193</v>
      </c>
      <c r="AR822" s="1">
        <v>308.77193</v>
      </c>
      <c r="AS822" s="1">
        <v>77.192980000000006</v>
      </c>
      <c r="AT822" s="1">
        <v>10.807017200000001</v>
      </c>
      <c r="AU822" s="1">
        <v>0</v>
      </c>
      <c r="AV822" s="2" t="s">
        <v>69</v>
      </c>
      <c r="AW822" s="1">
        <v>256.97800000000001</v>
      </c>
      <c r="AX822" s="1">
        <f>Table1[[#This Row],[Original Commissionable GMV]]-Table1[[#This Row],[Commission ]]-Table1[[#This Row],[Commission VAT]]-Table1[[#This Row],[FreeDeliveryFund]]</f>
        <v>220.7719328</v>
      </c>
      <c r="AY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M822" s="2"/>
    </row>
    <row r="823" spans="12:65" x14ac:dyDescent="0.25">
      <c r="L823" s="2">
        <v>504016</v>
      </c>
      <c r="M823" s="2" t="s">
        <v>52</v>
      </c>
      <c r="N823" s="2">
        <v>505839</v>
      </c>
      <c r="O823" t="s">
        <v>65</v>
      </c>
      <c r="P823">
        <v>3423277475</v>
      </c>
      <c r="Q823" s="5">
        <v>46049.837858796294</v>
      </c>
      <c r="R823" s="2" t="s">
        <v>54</v>
      </c>
      <c r="S823" s="2" t="s">
        <v>51</v>
      </c>
      <c r="T823" s="2" t="s">
        <v>55</v>
      </c>
      <c r="U823" s="2" t="s">
        <v>59</v>
      </c>
      <c r="V823" s="2" t="s">
        <v>57</v>
      </c>
      <c r="W823" s="2" t="s">
        <v>58</v>
      </c>
      <c r="X823" s="2" t="s">
        <v>59</v>
      </c>
      <c r="Y823" s="1">
        <v>870.97</v>
      </c>
      <c r="Z823" s="1">
        <v>870.97</v>
      </c>
      <c r="AA823" s="1">
        <v>29.99</v>
      </c>
      <c r="AB823" s="1">
        <v>29.99</v>
      </c>
      <c r="AC823" s="1">
        <v>0</v>
      </c>
      <c r="AD823" s="1">
        <v>114.32719</v>
      </c>
      <c r="AE823" s="1">
        <v>930.95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15.241975</v>
      </c>
      <c r="AP823" s="1">
        <v>2.1338765</v>
      </c>
      <c r="AQ823" s="1">
        <v>764.00877000000003</v>
      </c>
      <c r="AR823" s="1">
        <v>764.00877000000003</v>
      </c>
      <c r="AS823" s="1">
        <v>191.00219000000001</v>
      </c>
      <c r="AT823" s="1">
        <v>26.7403066</v>
      </c>
      <c r="AU823" s="1">
        <v>0</v>
      </c>
      <c r="AV823" s="2" t="s">
        <v>69</v>
      </c>
      <c r="AW823" s="1">
        <v>635.85199999999998</v>
      </c>
      <c r="AX823" s="1">
        <f>Table1[[#This Row],[Original Commissionable GMV]]-Table1[[#This Row],[Commission ]]-Table1[[#This Row],[Commission VAT]]-Table1[[#This Row],[FreeDeliveryFund]]</f>
        <v>546.26627339999993</v>
      </c>
      <c r="AY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M823" s="2"/>
    </row>
    <row r="824" spans="12:65" x14ac:dyDescent="0.25">
      <c r="L824" s="2">
        <v>504016</v>
      </c>
      <c r="M824" s="2" t="s">
        <v>52</v>
      </c>
      <c r="N824" s="2">
        <v>505839</v>
      </c>
      <c r="O824" t="s">
        <v>53</v>
      </c>
      <c r="P824">
        <v>3423337851</v>
      </c>
      <c r="Q824" s="5">
        <v>46049.857233796298</v>
      </c>
      <c r="R824" s="2" t="s">
        <v>54</v>
      </c>
      <c r="S824" s="2" t="s">
        <v>51</v>
      </c>
      <c r="T824" s="2" t="s">
        <v>55</v>
      </c>
      <c r="U824" s="2" t="s">
        <v>56</v>
      </c>
      <c r="V824" s="2" t="s">
        <v>57</v>
      </c>
      <c r="W824" s="2" t="s">
        <v>58</v>
      </c>
      <c r="X824" s="2" t="s">
        <v>59</v>
      </c>
      <c r="Y824" s="1">
        <v>569</v>
      </c>
      <c r="Z824" s="1">
        <v>569</v>
      </c>
      <c r="AA824" s="1">
        <v>0</v>
      </c>
      <c r="AB824" s="1">
        <v>28.45</v>
      </c>
      <c r="AC824" s="1">
        <v>0</v>
      </c>
      <c r="AD824" s="1">
        <v>73.371049999999997</v>
      </c>
      <c r="AE824" s="1">
        <v>597.45000000000005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9.9574999999999996</v>
      </c>
      <c r="AP824" s="1">
        <v>1.39405</v>
      </c>
      <c r="AQ824" s="1">
        <v>499.12281000000002</v>
      </c>
      <c r="AR824" s="1">
        <v>499.12281000000002</v>
      </c>
      <c r="AS824" s="1">
        <v>124.7807</v>
      </c>
      <c r="AT824" s="1">
        <v>17.469297999999998</v>
      </c>
      <c r="AU824" s="1">
        <v>31.99</v>
      </c>
      <c r="AV824" s="2" t="s">
        <v>60</v>
      </c>
      <c r="AW824" s="1">
        <v>383.40800000000002</v>
      </c>
      <c r="AX824" s="1">
        <f>Table1[[#This Row],[Original Commissionable GMV]]-Table1[[#This Row],[Commission ]]-Table1[[#This Row],[Commission VAT]]-Table1[[#This Row],[FreeDeliveryFund]]</f>
        <v>324.88281200000006</v>
      </c>
      <c r="AY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M824" s="2"/>
    </row>
    <row r="825" spans="12:65" x14ac:dyDescent="0.25">
      <c r="L825" s="2">
        <v>504016</v>
      </c>
      <c r="M825" s="2" t="s">
        <v>52</v>
      </c>
      <c r="N825" s="2">
        <v>505839</v>
      </c>
      <c r="O825" t="s">
        <v>53</v>
      </c>
      <c r="P825">
        <v>3423461157</v>
      </c>
      <c r="Q825" s="5">
        <v>46049.902812499997</v>
      </c>
      <c r="R825" s="2" t="s">
        <v>54</v>
      </c>
      <c r="S825" s="2" t="s">
        <v>51</v>
      </c>
      <c r="T825" s="2" t="s">
        <v>55</v>
      </c>
      <c r="U825" s="2" t="s">
        <v>59</v>
      </c>
      <c r="V825" s="2" t="s">
        <v>57</v>
      </c>
      <c r="W825" s="2" t="s">
        <v>58</v>
      </c>
      <c r="X825" s="2" t="s">
        <v>59</v>
      </c>
      <c r="Y825" s="1">
        <v>499.01</v>
      </c>
      <c r="Z825" s="1">
        <v>499.01</v>
      </c>
      <c r="AA825" s="1">
        <v>9</v>
      </c>
      <c r="AB825" s="1">
        <v>24.95</v>
      </c>
      <c r="AC825" s="1">
        <v>0</v>
      </c>
      <c r="AD825" s="1">
        <v>65.451229999999995</v>
      </c>
      <c r="AE825" s="1">
        <v>532.96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8.7326750000000004</v>
      </c>
      <c r="AP825" s="1">
        <v>1.2225744999999999</v>
      </c>
      <c r="AQ825" s="1">
        <v>437.72807</v>
      </c>
      <c r="AR825" s="1">
        <v>437.72807</v>
      </c>
      <c r="AS825" s="1">
        <v>109.43201999999999</v>
      </c>
      <c r="AT825" s="1">
        <v>15.320482800000001</v>
      </c>
      <c r="AU825" s="1">
        <v>34.99</v>
      </c>
      <c r="AV825" s="2" t="s">
        <v>60</v>
      </c>
      <c r="AW825" s="1">
        <v>329.31200000000001</v>
      </c>
      <c r="AX825" s="1">
        <f>Table1[[#This Row],[Original Commissionable GMV]]-Table1[[#This Row],[Commission ]]-Table1[[#This Row],[Commission VAT]]-Table1[[#This Row],[FreeDeliveryFund]]</f>
        <v>277.98556720000005</v>
      </c>
      <c r="AY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M825" s="2"/>
    </row>
    <row r="826" spans="12:65" x14ac:dyDescent="0.25">
      <c r="L826" s="2">
        <v>504016</v>
      </c>
      <c r="M826" s="2" t="s">
        <v>52</v>
      </c>
      <c r="N826" s="2">
        <v>505837</v>
      </c>
      <c r="O826" t="s">
        <v>63</v>
      </c>
      <c r="P826">
        <v>3423474482</v>
      </c>
      <c r="Q826" s="5">
        <v>46049.908402777779</v>
      </c>
      <c r="R826" s="2" t="s">
        <v>54</v>
      </c>
      <c r="S826" s="2" t="s">
        <v>51</v>
      </c>
      <c r="T826" s="2" t="s">
        <v>55</v>
      </c>
      <c r="U826" s="2" t="s">
        <v>59</v>
      </c>
      <c r="V826" s="2" t="s">
        <v>57</v>
      </c>
      <c r="W826" s="2" t="s">
        <v>58</v>
      </c>
      <c r="X826" s="2" t="s">
        <v>59</v>
      </c>
      <c r="Y826" s="1">
        <v>367.86</v>
      </c>
      <c r="Z826" s="1">
        <v>367.86</v>
      </c>
      <c r="AA826" s="1">
        <v>0</v>
      </c>
      <c r="AB826" s="1">
        <v>18.39</v>
      </c>
      <c r="AC826" s="1">
        <v>0</v>
      </c>
      <c r="AD826" s="1">
        <v>47.43421</v>
      </c>
      <c r="AE826" s="1">
        <v>386.25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6.4375499999999999</v>
      </c>
      <c r="AP826" s="1">
        <v>0.90125699999999997</v>
      </c>
      <c r="AQ826" s="1">
        <v>322.68421000000001</v>
      </c>
      <c r="AR826" s="1">
        <v>322.68421000000001</v>
      </c>
      <c r="AS826" s="1">
        <v>80.671049999999994</v>
      </c>
      <c r="AT826" s="1">
        <v>11.293946999999999</v>
      </c>
      <c r="AU826" s="1">
        <v>29.99</v>
      </c>
      <c r="AV826" s="2" t="s">
        <v>60</v>
      </c>
      <c r="AW826" s="1">
        <v>238.566</v>
      </c>
      <c r="AX826" s="1">
        <f>Table1[[#This Row],[Original Commissionable GMV]]-Table1[[#This Row],[Commission ]]-Table1[[#This Row],[Commission VAT]]-Table1[[#This Row],[FreeDeliveryFund]]</f>
        <v>200.72921300000002</v>
      </c>
      <c r="AY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M826" s="2"/>
    </row>
    <row r="827" spans="12:65" x14ac:dyDescent="0.25">
      <c r="L827" s="2">
        <v>504016</v>
      </c>
      <c r="M827" s="2" t="s">
        <v>52</v>
      </c>
      <c r="N827" s="2">
        <v>505837</v>
      </c>
      <c r="O827" t="s">
        <v>53</v>
      </c>
      <c r="P827">
        <v>3423606178</v>
      </c>
      <c r="Q827" s="5">
        <v>46049.978680555556</v>
      </c>
      <c r="R827" s="2" t="s">
        <v>62</v>
      </c>
      <c r="S827" s="2" t="s">
        <v>51</v>
      </c>
      <c r="T827" s="2" t="s">
        <v>55</v>
      </c>
      <c r="U827" s="2" t="s">
        <v>56</v>
      </c>
      <c r="V827" s="2" t="s">
        <v>57</v>
      </c>
      <c r="W827" s="2" t="s">
        <v>58</v>
      </c>
      <c r="X827" s="2" t="s">
        <v>59</v>
      </c>
      <c r="Y827" s="1">
        <v>447.18</v>
      </c>
      <c r="Z827" s="1">
        <v>447.18</v>
      </c>
      <c r="AA827" s="1">
        <v>32.99</v>
      </c>
      <c r="AB827" s="1">
        <v>22.36</v>
      </c>
      <c r="AC827" s="1">
        <v>0</v>
      </c>
      <c r="AD827" s="1">
        <v>61.714210000000001</v>
      </c>
      <c r="AE827" s="1">
        <v>502.53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392.26316000000003</v>
      </c>
      <c r="AR827" s="1">
        <v>392.26316000000003</v>
      </c>
      <c r="AS827" s="1">
        <v>98.065790000000007</v>
      </c>
      <c r="AT827" s="1">
        <v>13.7292106</v>
      </c>
      <c r="AU827" s="1">
        <v>0</v>
      </c>
      <c r="AV827" s="2" t="s">
        <v>69</v>
      </c>
      <c r="AW827" s="1">
        <v>335.38499999999999</v>
      </c>
      <c r="AX827" s="1">
        <f>Table1[[#This Row],[Original Commissionable GMV]]-Table1[[#This Row],[Commission ]]-Table1[[#This Row],[Commission VAT]]-Table1[[#This Row],[FreeDeliveryFund]]</f>
        <v>280.46815940000005</v>
      </c>
      <c r="AY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M827" s="2"/>
    </row>
    <row r="828" spans="12:65" x14ac:dyDescent="0.25">
      <c r="L828" s="2">
        <v>504016</v>
      </c>
      <c r="M828" s="2" t="s">
        <v>52</v>
      </c>
      <c r="N828" s="2">
        <v>505839</v>
      </c>
      <c r="O828" t="s">
        <v>53</v>
      </c>
      <c r="P828">
        <v>3424078911</v>
      </c>
      <c r="Q828" s="5">
        <v>46050.482407407406</v>
      </c>
      <c r="R828" s="2" t="s">
        <v>54</v>
      </c>
      <c r="S828" s="2" t="s">
        <v>51</v>
      </c>
      <c r="T828" s="2" t="s">
        <v>55</v>
      </c>
      <c r="U828" s="2" t="s">
        <v>59</v>
      </c>
      <c r="V828" s="2" t="s">
        <v>57</v>
      </c>
      <c r="W828" s="2" t="s">
        <v>58</v>
      </c>
      <c r="X828" s="2" t="s">
        <v>59</v>
      </c>
      <c r="Y828" s="1">
        <v>767.99</v>
      </c>
      <c r="Z828" s="1">
        <v>767.99</v>
      </c>
      <c r="AA828" s="1">
        <v>34.99</v>
      </c>
      <c r="AB828" s="1">
        <v>29.99</v>
      </c>
      <c r="AC828" s="1">
        <v>0</v>
      </c>
      <c r="AD828" s="1">
        <v>96.768249999999995</v>
      </c>
      <c r="AE828" s="1">
        <v>787.97</v>
      </c>
      <c r="AG828" s="1">
        <v>0</v>
      </c>
      <c r="AH828" s="1">
        <v>45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13.439825000000001</v>
      </c>
      <c r="AP828" s="1">
        <v>1.8815755000000001</v>
      </c>
      <c r="AQ828" s="1">
        <v>673.67543999999998</v>
      </c>
      <c r="AR828" s="1">
        <v>673.67543999999998</v>
      </c>
      <c r="AS828" s="1">
        <v>168.41886</v>
      </c>
      <c r="AT828" s="1">
        <v>23.578640400000001</v>
      </c>
      <c r="AU828" s="1">
        <v>0</v>
      </c>
      <c r="AV828" s="2" t="s">
        <v>69</v>
      </c>
      <c r="AW828" s="1">
        <v>560.67100000000005</v>
      </c>
      <c r="AX828" s="1">
        <f>Table1[[#This Row],[Original Commissionable GMV]]-Table1[[#This Row],[Commission ]]-Table1[[#This Row],[Commission VAT]]-Table1[[#This Row],[FreeDeliveryFund]]</f>
        <v>481.6779396</v>
      </c>
      <c r="AY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M828" s="2"/>
    </row>
    <row r="829" spans="12:65" x14ac:dyDescent="0.25">
      <c r="L829" s="2">
        <v>504016</v>
      </c>
      <c r="M829" s="2" t="s">
        <v>52</v>
      </c>
      <c r="N829" s="2">
        <v>505837</v>
      </c>
      <c r="O829" t="s">
        <v>63</v>
      </c>
      <c r="P829">
        <v>3424186218</v>
      </c>
      <c r="Q829" s="5">
        <v>46050.528171296297</v>
      </c>
      <c r="R829" s="2" t="s">
        <v>54</v>
      </c>
      <c r="S829" s="2" t="s">
        <v>51</v>
      </c>
      <c r="T829" s="2" t="s">
        <v>55</v>
      </c>
      <c r="U829" s="2" t="s">
        <v>56</v>
      </c>
      <c r="V829" s="2" t="s">
        <v>57</v>
      </c>
      <c r="W829" s="2" t="s">
        <v>58</v>
      </c>
      <c r="X829" s="2" t="s">
        <v>59</v>
      </c>
      <c r="Y829" s="1">
        <v>350.99</v>
      </c>
      <c r="Z829" s="1">
        <v>350.99</v>
      </c>
      <c r="AA829" s="1">
        <v>0</v>
      </c>
      <c r="AB829" s="1">
        <v>17.55</v>
      </c>
      <c r="AC829" s="1">
        <v>0</v>
      </c>
      <c r="AD829" s="1">
        <v>45.259300000000003</v>
      </c>
      <c r="AE829" s="1">
        <v>368.54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6.1423249999999996</v>
      </c>
      <c r="AP829" s="1">
        <v>0.85992550000000001</v>
      </c>
      <c r="AQ829" s="1">
        <v>307.88596000000001</v>
      </c>
      <c r="AR829" s="1">
        <v>307.88596000000001</v>
      </c>
      <c r="AS829" s="1">
        <v>76.971490000000003</v>
      </c>
      <c r="AT829" s="1">
        <v>10.776008600000001</v>
      </c>
      <c r="AU829" s="1">
        <v>29.99</v>
      </c>
      <c r="AV829" s="2" t="s">
        <v>60</v>
      </c>
      <c r="AW829" s="1">
        <v>226.25</v>
      </c>
      <c r="AX829" s="1">
        <f>Table1[[#This Row],[Original Commissionable GMV]]-Table1[[#This Row],[Commission ]]-Table1[[#This Row],[Commission VAT]]-Table1[[#This Row],[FreeDeliveryFund]]</f>
        <v>190.14846139999997</v>
      </c>
      <c r="AY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M829" s="2"/>
    </row>
    <row r="830" spans="12:65" x14ac:dyDescent="0.25">
      <c r="L830" s="2">
        <v>504016</v>
      </c>
      <c r="M830" s="2" t="s">
        <v>52</v>
      </c>
      <c r="N830" s="2">
        <v>505839</v>
      </c>
      <c r="O830" t="s">
        <v>53</v>
      </c>
      <c r="P830">
        <v>3424444332</v>
      </c>
      <c r="Q830" s="5">
        <v>46050.630254629628</v>
      </c>
      <c r="R830" s="2" t="s">
        <v>54</v>
      </c>
      <c r="S830" s="2" t="s">
        <v>51</v>
      </c>
      <c r="T830" s="2" t="s">
        <v>55</v>
      </c>
      <c r="U830" s="2" t="s">
        <v>56</v>
      </c>
      <c r="V830" s="2" t="s">
        <v>57</v>
      </c>
      <c r="W830" s="2" t="s">
        <v>58</v>
      </c>
      <c r="X830" s="2" t="s">
        <v>59</v>
      </c>
      <c r="Y830" s="1">
        <v>688.47</v>
      </c>
      <c r="Z830" s="1">
        <v>719.97</v>
      </c>
      <c r="AA830" s="1">
        <v>0</v>
      </c>
      <c r="AB830" s="1">
        <v>29.99</v>
      </c>
      <c r="AC830" s="1">
        <v>0</v>
      </c>
      <c r="AD830" s="1">
        <v>92.100350000000006</v>
      </c>
      <c r="AE830" s="1">
        <v>718.46</v>
      </c>
      <c r="AG830" s="1">
        <v>0</v>
      </c>
      <c r="AH830" s="1">
        <v>31.5</v>
      </c>
      <c r="AI830" s="1">
        <v>0</v>
      </c>
      <c r="AJ830" s="1">
        <v>0</v>
      </c>
      <c r="AK830" s="1">
        <v>0</v>
      </c>
      <c r="AL830" s="1">
        <v>0</v>
      </c>
      <c r="AM830" s="1">
        <v>30</v>
      </c>
      <c r="AN830" s="1">
        <v>4.2</v>
      </c>
      <c r="AO830" s="1">
        <v>12.048225</v>
      </c>
      <c r="AP830" s="1">
        <v>1.6867515</v>
      </c>
      <c r="AQ830" s="1">
        <v>603.92105000000004</v>
      </c>
      <c r="AR830" s="1">
        <v>603.92105000000004</v>
      </c>
      <c r="AS830" s="1">
        <v>150.98025999999999</v>
      </c>
      <c r="AT830" s="1">
        <v>21.137236399999999</v>
      </c>
      <c r="AU830" s="1">
        <v>31.99</v>
      </c>
      <c r="AV830" s="2" t="s">
        <v>60</v>
      </c>
      <c r="AW830" s="1">
        <v>436.428</v>
      </c>
      <c r="AX830" s="1">
        <f>Table1[[#This Row],[Original Commissionable GMV]]-Table1[[#This Row],[Commission ]]-Table1[[#This Row],[Commission VAT]]-Table1[[#This Row],[FreeDeliveryFund]]</f>
        <v>399.81355360000003</v>
      </c>
      <c r="AY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M830" s="2"/>
    </row>
    <row r="831" spans="12:65" x14ac:dyDescent="0.25">
      <c r="L831" s="2">
        <v>504016</v>
      </c>
      <c r="M831" s="2" t="s">
        <v>52</v>
      </c>
      <c r="N831" s="2">
        <v>505837</v>
      </c>
      <c r="O831" t="s">
        <v>53</v>
      </c>
      <c r="P831">
        <v>3424456835</v>
      </c>
      <c r="Q831" s="5">
        <v>46050.63490740741</v>
      </c>
      <c r="R831" s="2" t="s">
        <v>54</v>
      </c>
      <c r="S831" s="2" t="s">
        <v>51</v>
      </c>
      <c r="T831" s="2" t="s">
        <v>55</v>
      </c>
      <c r="U831" s="2" t="s">
        <v>59</v>
      </c>
      <c r="V831" s="2" t="s">
        <v>57</v>
      </c>
      <c r="W831" s="2" t="s">
        <v>58</v>
      </c>
      <c r="X831" s="2" t="s">
        <v>59</v>
      </c>
      <c r="Y831" s="1">
        <v>363.99</v>
      </c>
      <c r="Z831" s="1">
        <v>363.99</v>
      </c>
      <c r="AA831" s="1">
        <v>0</v>
      </c>
      <c r="AB831" s="1">
        <v>18.2</v>
      </c>
      <c r="AC831" s="1">
        <v>0</v>
      </c>
      <c r="AD831" s="1">
        <v>46.935609999999997</v>
      </c>
      <c r="AE831" s="1">
        <v>382.19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6.3698249999999996</v>
      </c>
      <c r="AP831" s="1">
        <v>0.89177550000000005</v>
      </c>
      <c r="AQ831" s="1">
        <v>319.28946999999999</v>
      </c>
      <c r="AR831" s="1">
        <v>319.28946999999999</v>
      </c>
      <c r="AS831" s="1">
        <v>79.822370000000006</v>
      </c>
      <c r="AT831" s="1">
        <v>11.175131800000001</v>
      </c>
      <c r="AU831" s="1">
        <v>31.99</v>
      </c>
      <c r="AV831" s="2" t="s">
        <v>60</v>
      </c>
      <c r="AW831" s="1">
        <v>233.74100000000001</v>
      </c>
      <c r="AX831" s="1">
        <f>Table1[[#This Row],[Original Commissionable GMV]]-Table1[[#This Row],[Commission ]]-Table1[[#This Row],[Commission VAT]]-Table1[[#This Row],[FreeDeliveryFund]]</f>
        <v>196.30196819999998</v>
      </c>
      <c r="AY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M831" s="2"/>
    </row>
    <row r="832" spans="12:65" x14ac:dyDescent="0.25">
      <c r="L832" s="2">
        <v>504016</v>
      </c>
      <c r="M832" s="2" t="s">
        <v>52</v>
      </c>
      <c r="N832" s="2">
        <v>505837</v>
      </c>
      <c r="O832" t="s">
        <v>65</v>
      </c>
      <c r="P832">
        <v>3424475076</v>
      </c>
      <c r="Q832" s="5">
        <v>46050.641643518517</v>
      </c>
      <c r="R832" s="2" t="s">
        <v>62</v>
      </c>
      <c r="S832" s="2" t="s">
        <v>51</v>
      </c>
      <c r="T832" s="2" t="s">
        <v>55</v>
      </c>
      <c r="U832" s="2" t="s">
        <v>56</v>
      </c>
      <c r="V832" s="2" t="s">
        <v>57</v>
      </c>
      <c r="W832" s="2" t="s">
        <v>58</v>
      </c>
      <c r="X832" s="2" t="s">
        <v>59</v>
      </c>
      <c r="Y832" s="1">
        <v>548.48</v>
      </c>
      <c r="Z832" s="1">
        <v>609.98</v>
      </c>
      <c r="AA832" s="1">
        <v>0</v>
      </c>
      <c r="AB832" s="1">
        <v>29.99</v>
      </c>
      <c r="AC832" s="1">
        <v>0</v>
      </c>
      <c r="AD832" s="1">
        <v>78.59281</v>
      </c>
      <c r="AE832" s="1">
        <v>578.47</v>
      </c>
      <c r="AG832" s="1">
        <v>0</v>
      </c>
      <c r="AH832" s="1">
        <v>61.5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481.12281000000002</v>
      </c>
      <c r="AR832" s="1">
        <v>481.12281000000002</v>
      </c>
      <c r="AS832" s="1">
        <v>120.2807</v>
      </c>
      <c r="AT832" s="1">
        <v>16.839297999999999</v>
      </c>
      <c r="AU832" s="1">
        <v>29.99</v>
      </c>
      <c r="AV832" s="2" t="s">
        <v>60</v>
      </c>
      <c r="AW832" s="1">
        <v>381.37</v>
      </c>
      <c r="AX832" s="1">
        <f>Table1[[#This Row],[Original Commissionable GMV]]-Table1[[#This Row],[Commission ]]-Table1[[#This Row],[Commission VAT]]-Table1[[#This Row],[FreeDeliveryFund]]</f>
        <v>314.01281200000005</v>
      </c>
      <c r="AY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M832" s="2"/>
    </row>
    <row r="833" spans="12:65" x14ac:dyDescent="0.25">
      <c r="L833" s="2">
        <v>504016</v>
      </c>
      <c r="M833" s="2" t="s">
        <v>52</v>
      </c>
      <c r="N833" s="2">
        <v>505839</v>
      </c>
      <c r="O833" t="s">
        <v>65</v>
      </c>
      <c r="P833">
        <v>3424498619</v>
      </c>
      <c r="Q833" s="5">
        <v>46050.650358796294</v>
      </c>
      <c r="R833" s="2" t="s">
        <v>54</v>
      </c>
      <c r="S833" s="2" t="s">
        <v>51</v>
      </c>
      <c r="T833" s="2" t="s">
        <v>55</v>
      </c>
      <c r="U833" s="2" t="s">
        <v>59</v>
      </c>
      <c r="V833" s="2" t="s">
        <v>57</v>
      </c>
      <c r="W833" s="2" t="s">
        <v>58</v>
      </c>
      <c r="X833" s="2" t="s">
        <v>59</v>
      </c>
      <c r="Y833" s="1">
        <v>390</v>
      </c>
      <c r="Z833" s="1">
        <v>390</v>
      </c>
      <c r="AA833" s="1">
        <v>0</v>
      </c>
      <c r="AB833" s="1">
        <v>19.5</v>
      </c>
      <c r="AC833" s="1">
        <v>0</v>
      </c>
      <c r="AD833" s="1">
        <v>50.289470000000001</v>
      </c>
      <c r="AE833" s="1">
        <v>409.5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6.8250000000000002</v>
      </c>
      <c r="AP833" s="1">
        <v>0.95550000000000002</v>
      </c>
      <c r="AQ833" s="1">
        <v>342.10525999999999</v>
      </c>
      <c r="AR833" s="1">
        <v>342.10525999999999</v>
      </c>
      <c r="AS833" s="1">
        <v>85.526319999999998</v>
      </c>
      <c r="AT833" s="1">
        <v>11.973684799999999</v>
      </c>
      <c r="AU833" s="1">
        <v>28.99</v>
      </c>
      <c r="AV833" s="2" t="s">
        <v>60</v>
      </c>
      <c r="AW833" s="1">
        <v>255.72900000000001</v>
      </c>
      <c r="AX833" s="1">
        <f>Table1[[#This Row],[Original Commissionable GMV]]-Table1[[#This Row],[Commission ]]-Table1[[#This Row],[Commission VAT]]-Table1[[#This Row],[FreeDeliveryFund]]</f>
        <v>215.61525519999998</v>
      </c>
      <c r="AY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M833" s="2"/>
    </row>
    <row r="834" spans="12:65" x14ac:dyDescent="0.25">
      <c r="L834" s="2">
        <v>504016</v>
      </c>
      <c r="M834" s="2" t="s">
        <v>52</v>
      </c>
      <c r="N834" s="2">
        <v>505837</v>
      </c>
      <c r="O834" t="s">
        <v>63</v>
      </c>
      <c r="P834">
        <v>3424539684</v>
      </c>
      <c r="Q834" s="5">
        <v>46050.665162037039</v>
      </c>
      <c r="R834" s="2" t="s">
        <v>54</v>
      </c>
      <c r="S834" s="2" t="s">
        <v>51</v>
      </c>
      <c r="T834" s="2" t="s">
        <v>55</v>
      </c>
      <c r="U834" s="2" t="s">
        <v>59</v>
      </c>
      <c r="V834" s="2" t="s">
        <v>57</v>
      </c>
      <c r="W834" s="2" t="s">
        <v>58</v>
      </c>
      <c r="X834" s="2" t="s">
        <v>59</v>
      </c>
      <c r="Y834" s="1">
        <v>203.99</v>
      </c>
      <c r="Z834" s="1">
        <v>239.99</v>
      </c>
      <c r="AA834" s="1">
        <v>0</v>
      </c>
      <c r="AB834" s="1">
        <v>12</v>
      </c>
      <c r="AC834" s="1">
        <v>0</v>
      </c>
      <c r="AD834" s="1">
        <v>30.94614</v>
      </c>
      <c r="AE834" s="1">
        <v>215.99</v>
      </c>
      <c r="AG834" s="1">
        <v>0</v>
      </c>
      <c r="AH834" s="1">
        <v>36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3.5698249999999998</v>
      </c>
      <c r="AP834" s="1">
        <v>0.49977549999999998</v>
      </c>
      <c r="AQ834" s="1">
        <v>178.93860000000001</v>
      </c>
      <c r="AR834" s="1">
        <v>178.93860000000001</v>
      </c>
      <c r="AS834" s="1">
        <v>44.734650000000002</v>
      </c>
      <c r="AT834" s="1">
        <v>6.2628510000000004</v>
      </c>
      <c r="AU834" s="1">
        <v>28.99</v>
      </c>
      <c r="AV834" s="2" t="s">
        <v>60</v>
      </c>
      <c r="AW834" s="1">
        <v>119.93300000000001</v>
      </c>
      <c r="AX834" s="1">
        <f>Table1[[#This Row],[Original Commissionable GMV]]-Table1[[#This Row],[Commission ]]-Table1[[#This Row],[Commission VAT]]-Table1[[#This Row],[FreeDeliveryFund]]</f>
        <v>98.951099000000028</v>
      </c>
      <c r="AY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M834" s="2"/>
    </row>
    <row r="835" spans="12:65" x14ac:dyDescent="0.25">
      <c r="L835" s="2">
        <v>504016</v>
      </c>
      <c r="M835" s="2" t="s">
        <v>52</v>
      </c>
      <c r="N835" s="2">
        <v>505839</v>
      </c>
      <c r="O835" t="s">
        <v>53</v>
      </c>
      <c r="P835">
        <v>3424579741</v>
      </c>
      <c r="Q835" s="5">
        <v>46050.679155092592</v>
      </c>
      <c r="R835" s="2" t="s">
        <v>54</v>
      </c>
      <c r="S835" s="2" t="s">
        <v>51</v>
      </c>
      <c r="T835" s="2" t="s">
        <v>55</v>
      </c>
      <c r="U835" s="2" t="s">
        <v>56</v>
      </c>
      <c r="V835" s="2" t="s">
        <v>57</v>
      </c>
      <c r="W835" s="2" t="s">
        <v>58</v>
      </c>
      <c r="X835" s="2" t="s">
        <v>59</v>
      </c>
      <c r="Y835" s="1">
        <v>462.98</v>
      </c>
      <c r="Z835" s="1">
        <v>462.98</v>
      </c>
      <c r="AA835" s="1">
        <v>9</v>
      </c>
      <c r="AB835" s="1">
        <v>23.15</v>
      </c>
      <c r="AC835" s="1">
        <v>0</v>
      </c>
      <c r="AD835" s="1">
        <v>60.805439999999997</v>
      </c>
      <c r="AE835" s="1">
        <v>495.13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8.10215</v>
      </c>
      <c r="AP835" s="1">
        <v>1.134301</v>
      </c>
      <c r="AQ835" s="1">
        <v>406.12281000000002</v>
      </c>
      <c r="AR835" s="1">
        <v>406.12281000000002</v>
      </c>
      <c r="AS835" s="1">
        <v>101.5307</v>
      </c>
      <c r="AT835" s="1">
        <v>14.214297999999999</v>
      </c>
      <c r="AU835" s="1">
        <v>31.99</v>
      </c>
      <c r="AV835" s="2" t="s">
        <v>60</v>
      </c>
      <c r="AW835" s="1">
        <v>306.00900000000001</v>
      </c>
      <c r="AX835" s="1">
        <f>Table1[[#This Row],[Original Commissionable GMV]]-Table1[[#This Row],[Commission ]]-Table1[[#This Row],[Commission VAT]]-Table1[[#This Row],[FreeDeliveryFund]]</f>
        <v>258.38781200000005</v>
      </c>
      <c r="AY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M835" s="2"/>
    </row>
    <row r="836" spans="12:65" x14ac:dyDescent="0.25">
      <c r="L836" s="2">
        <v>504016</v>
      </c>
      <c r="M836" s="2" t="s">
        <v>52</v>
      </c>
      <c r="N836" s="2">
        <v>505837</v>
      </c>
      <c r="O836" t="s">
        <v>53</v>
      </c>
      <c r="P836">
        <v>3424582461</v>
      </c>
      <c r="Q836" s="5">
        <v>46050.680127314816</v>
      </c>
      <c r="R836" s="2" t="s">
        <v>54</v>
      </c>
      <c r="S836" s="2" t="s">
        <v>51</v>
      </c>
      <c r="T836" s="2" t="s">
        <v>55</v>
      </c>
      <c r="U836" s="2" t="s">
        <v>59</v>
      </c>
      <c r="V836" s="2" t="s">
        <v>57</v>
      </c>
      <c r="W836" s="2" t="s">
        <v>58</v>
      </c>
      <c r="X836" s="2" t="s">
        <v>59</v>
      </c>
      <c r="Y836" s="1">
        <v>639.98</v>
      </c>
      <c r="Z836" s="1">
        <v>639.98</v>
      </c>
      <c r="AA836" s="1">
        <v>0</v>
      </c>
      <c r="AB836" s="1">
        <v>29.99</v>
      </c>
      <c r="AC836" s="1">
        <v>0</v>
      </c>
      <c r="AD836" s="1">
        <v>82.277019999999993</v>
      </c>
      <c r="AE836" s="1">
        <v>669.97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11.19965</v>
      </c>
      <c r="AP836" s="1">
        <v>1.5679510000000001</v>
      </c>
      <c r="AQ836" s="1">
        <v>561.38595999999995</v>
      </c>
      <c r="AR836" s="1">
        <v>561.38595999999995</v>
      </c>
      <c r="AS836" s="1">
        <v>140.34648999999999</v>
      </c>
      <c r="AT836" s="1">
        <v>19.6485086</v>
      </c>
      <c r="AU836" s="1">
        <v>31.99</v>
      </c>
      <c r="AV836" s="2" t="s">
        <v>60</v>
      </c>
      <c r="AW836" s="1">
        <v>435.22699999999998</v>
      </c>
      <c r="AX836" s="1">
        <f>Table1[[#This Row],[Original Commissionable GMV]]-Table1[[#This Row],[Commission ]]-Table1[[#This Row],[Commission VAT]]-Table1[[#This Row],[FreeDeliveryFund]]</f>
        <v>369.40096139999991</v>
      </c>
      <c r="AY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M836" s="2"/>
    </row>
    <row r="837" spans="12:65" x14ac:dyDescent="0.25">
      <c r="L837" s="2">
        <v>504016</v>
      </c>
      <c r="M837" s="2" t="s">
        <v>52</v>
      </c>
      <c r="N837" s="2">
        <v>505837</v>
      </c>
      <c r="O837" t="s">
        <v>53</v>
      </c>
      <c r="P837">
        <v>3424624318</v>
      </c>
      <c r="Q837" s="5">
        <v>46050.693912037037</v>
      </c>
      <c r="R837" s="2" t="s">
        <v>54</v>
      </c>
      <c r="S837" s="2" t="s">
        <v>51</v>
      </c>
      <c r="T837" s="2" t="s">
        <v>55</v>
      </c>
      <c r="U837" s="2" t="s">
        <v>59</v>
      </c>
      <c r="V837" s="2" t="s">
        <v>57</v>
      </c>
      <c r="W837" s="2" t="s">
        <v>58</v>
      </c>
      <c r="X837" s="2" t="s">
        <v>59</v>
      </c>
      <c r="Y837" s="1">
        <v>616.67999999999995</v>
      </c>
      <c r="Z837" s="1">
        <v>616.67999999999995</v>
      </c>
      <c r="AA837" s="1">
        <v>41.99</v>
      </c>
      <c r="AB837" s="1">
        <v>29.99</v>
      </c>
      <c r="AC837" s="1">
        <v>0</v>
      </c>
      <c r="AD837" s="1">
        <v>84.572280000000006</v>
      </c>
      <c r="AE837" s="1">
        <v>688.66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30</v>
      </c>
      <c r="AN837" s="1">
        <v>4.2</v>
      </c>
      <c r="AO837" s="1">
        <v>10.7919</v>
      </c>
      <c r="AP837" s="1">
        <v>1.510866</v>
      </c>
      <c r="AQ837" s="1">
        <v>540.94736999999998</v>
      </c>
      <c r="AR837" s="1">
        <v>540.94736999999998</v>
      </c>
      <c r="AS837" s="1">
        <v>135.23684</v>
      </c>
      <c r="AT837" s="1">
        <v>18.933157600000001</v>
      </c>
      <c r="AU837" s="1">
        <v>0</v>
      </c>
      <c r="AV837" s="2" t="s">
        <v>69</v>
      </c>
      <c r="AW837" s="1">
        <v>416.00700000000001</v>
      </c>
      <c r="AX837" s="1">
        <f>Table1[[#This Row],[Original Commissionable GMV]]-Table1[[#This Row],[Commission ]]-Table1[[#This Row],[Commission VAT]]-Table1[[#This Row],[FreeDeliveryFund]]</f>
        <v>386.77737239999993</v>
      </c>
      <c r="AY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M837" s="2"/>
    </row>
    <row r="838" spans="12:65" x14ac:dyDescent="0.25">
      <c r="L838" s="2">
        <v>504016</v>
      </c>
      <c r="M838" s="2" t="s">
        <v>52</v>
      </c>
      <c r="N838" s="2">
        <v>505837</v>
      </c>
      <c r="O838" t="s">
        <v>53</v>
      </c>
      <c r="P838">
        <v>3424631877</v>
      </c>
      <c r="Q838" s="5">
        <v>46050.696342592593</v>
      </c>
      <c r="R838" s="2" t="s">
        <v>54</v>
      </c>
      <c r="S838" s="2" t="s">
        <v>51</v>
      </c>
      <c r="T838" s="2" t="s">
        <v>55</v>
      </c>
      <c r="U838" s="2" t="s">
        <v>56</v>
      </c>
      <c r="V838" s="2" t="s">
        <v>57</v>
      </c>
      <c r="W838" s="2" t="s">
        <v>58</v>
      </c>
      <c r="X838" s="2" t="s">
        <v>59</v>
      </c>
      <c r="Y838" s="1">
        <v>391.97</v>
      </c>
      <c r="Z838" s="1">
        <v>391.97</v>
      </c>
      <c r="AA838" s="1">
        <v>0</v>
      </c>
      <c r="AB838" s="1">
        <v>19.600000000000001</v>
      </c>
      <c r="AC838" s="1">
        <v>0</v>
      </c>
      <c r="AD838" s="1">
        <v>50.543680000000002</v>
      </c>
      <c r="AE838" s="1">
        <v>411.57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6.8594749999999998</v>
      </c>
      <c r="AP838" s="1">
        <v>0.96032649999999997</v>
      </c>
      <c r="AQ838" s="1">
        <v>343.83332999999999</v>
      </c>
      <c r="AR838" s="1">
        <v>343.83332999999999</v>
      </c>
      <c r="AS838" s="1">
        <v>85.958330000000004</v>
      </c>
      <c r="AT838" s="1">
        <v>12.0341662</v>
      </c>
      <c r="AU838" s="1">
        <v>32.99</v>
      </c>
      <c r="AV838" s="2" t="s">
        <v>60</v>
      </c>
      <c r="AW838" s="1">
        <v>253.16800000000001</v>
      </c>
      <c r="AX838" s="1">
        <f>Table1[[#This Row],[Original Commissionable GMV]]-Table1[[#This Row],[Commission ]]-Table1[[#This Row],[Commission VAT]]-Table1[[#This Row],[FreeDeliveryFund]]</f>
        <v>212.8508338</v>
      </c>
      <c r="AY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M838" s="2"/>
    </row>
    <row r="839" spans="12:65" x14ac:dyDescent="0.25">
      <c r="L839" s="2">
        <v>504016</v>
      </c>
      <c r="M839" s="2" t="s">
        <v>52</v>
      </c>
      <c r="N839" s="2">
        <v>505837</v>
      </c>
      <c r="O839" t="s">
        <v>63</v>
      </c>
      <c r="P839">
        <v>3424643140</v>
      </c>
      <c r="Q839" s="5">
        <v>46050.699756944443</v>
      </c>
      <c r="R839" s="2" t="s">
        <v>54</v>
      </c>
      <c r="S839" s="2" t="s">
        <v>51</v>
      </c>
      <c r="T839" s="2" t="s">
        <v>55</v>
      </c>
      <c r="U839" s="2" t="s">
        <v>56</v>
      </c>
      <c r="V839" s="2" t="s">
        <v>57</v>
      </c>
      <c r="W839" s="2" t="s">
        <v>58</v>
      </c>
      <c r="X839" s="2" t="s">
        <v>59</v>
      </c>
      <c r="Y839" s="1">
        <v>1136.96</v>
      </c>
      <c r="Z839" s="1">
        <v>1136.96</v>
      </c>
      <c r="AA839" s="1">
        <v>0</v>
      </c>
      <c r="AB839" s="1">
        <v>29.99</v>
      </c>
      <c r="AC839" s="1">
        <v>0</v>
      </c>
      <c r="AD839" s="1">
        <v>143.30965</v>
      </c>
      <c r="AE839" s="1">
        <v>1166.95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19.896799999999999</v>
      </c>
      <c r="AP839" s="1">
        <v>2.785552</v>
      </c>
      <c r="AQ839" s="1">
        <v>997.33333000000005</v>
      </c>
      <c r="AR839" s="1">
        <v>997.33333000000005</v>
      </c>
      <c r="AS839" s="1">
        <v>249.33332999999999</v>
      </c>
      <c r="AT839" s="1">
        <v>34.906666199999997</v>
      </c>
      <c r="AU839" s="1">
        <v>27.99</v>
      </c>
      <c r="AV839" s="2" t="s">
        <v>60</v>
      </c>
      <c r="AW839" s="1">
        <v>802.048</v>
      </c>
      <c r="AX839" s="1">
        <f>Table1[[#This Row],[Original Commissionable GMV]]-Table1[[#This Row],[Commission ]]-Table1[[#This Row],[Commission VAT]]-Table1[[#This Row],[FreeDeliveryFund]]</f>
        <v>685.10333379999997</v>
      </c>
      <c r="AY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M839" s="2"/>
    </row>
    <row r="840" spans="12:65" x14ac:dyDescent="0.25">
      <c r="L840" s="2">
        <v>504016</v>
      </c>
      <c r="M840" s="2" t="s">
        <v>52</v>
      </c>
      <c r="N840" s="2">
        <v>505837</v>
      </c>
      <c r="O840" t="s">
        <v>63</v>
      </c>
      <c r="P840">
        <v>3424658581</v>
      </c>
      <c r="Q840" s="5">
        <v>46050.704212962963</v>
      </c>
      <c r="R840" s="2" t="s">
        <v>54</v>
      </c>
      <c r="S840" s="2" t="s">
        <v>51</v>
      </c>
      <c r="T840" s="2" t="s">
        <v>55</v>
      </c>
      <c r="U840" s="2" t="s">
        <v>56</v>
      </c>
      <c r="V840" s="2" t="s">
        <v>57</v>
      </c>
      <c r="W840" s="2" t="s">
        <v>58</v>
      </c>
      <c r="X840" s="2" t="s">
        <v>59</v>
      </c>
      <c r="Y840" s="1">
        <v>365.68</v>
      </c>
      <c r="Z840" s="1">
        <v>365.68</v>
      </c>
      <c r="AA840" s="1">
        <v>7</v>
      </c>
      <c r="AB840" s="1">
        <v>18.28</v>
      </c>
      <c r="AC840" s="1">
        <v>0</v>
      </c>
      <c r="AD840" s="1">
        <v>48.012630000000001</v>
      </c>
      <c r="AE840" s="1">
        <v>390.96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6.3994</v>
      </c>
      <c r="AP840" s="1">
        <v>0.89591600000000005</v>
      </c>
      <c r="AQ840" s="1">
        <v>320.77193</v>
      </c>
      <c r="AR840" s="1">
        <v>320.77193</v>
      </c>
      <c r="AS840" s="1">
        <v>80.192980000000006</v>
      </c>
      <c r="AT840" s="1">
        <v>11.227017200000001</v>
      </c>
      <c r="AU840" s="1">
        <v>26.99</v>
      </c>
      <c r="AV840" s="2" t="s">
        <v>60</v>
      </c>
      <c r="AW840" s="1">
        <v>239.97499999999999</v>
      </c>
      <c r="AX840" s="1">
        <f>Table1[[#This Row],[Original Commissionable GMV]]-Table1[[#This Row],[Commission ]]-Table1[[#This Row],[Commission VAT]]-Table1[[#This Row],[FreeDeliveryFund]]</f>
        <v>202.36193279999998</v>
      </c>
      <c r="AY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M840" s="2"/>
    </row>
    <row r="841" spans="12:65" x14ac:dyDescent="0.25">
      <c r="L841" s="2">
        <v>504016</v>
      </c>
      <c r="M841" s="2" t="s">
        <v>52</v>
      </c>
      <c r="N841" s="2">
        <v>505839</v>
      </c>
      <c r="O841" t="s">
        <v>63</v>
      </c>
      <c r="P841">
        <v>3424724524</v>
      </c>
      <c r="Q841" s="5">
        <v>46050.723680555559</v>
      </c>
      <c r="R841" s="2" t="s">
        <v>54</v>
      </c>
      <c r="S841" s="2" t="s">
        <v>51</v>
      </c>
      <c r="T841" s="2" t="s">
        <v>55</v>
      </c>
      <c r="U841" s="2" t="s">
        <v>56</v>
      </c>
      <c r="V841" s="2" t="s">
        <v>57</v>
      </c>
      <c r="W841" s="2" t="s">
        <v>58</v>
      </c>
      <c r="X841" s="2" t="s">
        <v>59</v>
      </c>
      <c r="Y841" s="1">
        <v>1288.96</v>
      </c>
      <c r="Z841" s="1">
        <v>1288.96</v>
      </c>
      <c r="AA841" s="1">
        <v>27.99</v>
      </c>
      <c r="AB841" s="1">
        <v>29.99</v>
      </c>
      <c r="AC841" s="1">
        <v>0</v>
      </c>
      <c r="AD841" s="1">
        <v>165.41368</v>
      </c>
      <c r="AE841" s="1">
        <v>1346.94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22.55679825</v>
      </c>
      <c r="AP841" s="1">
        <v>3.157951755</v>
      </c>
      <c r="AQ841" s="1">
        <v>1130.6666700000001</v>
      </c>
      <c r="AR841" s="1">
        <v>1130.6666700000001</v>
      </c>
      <c r="AS841" s="1">
        <v>282.66667000000001</v>
      </c>
      <c r="AT841" s="1">
        <v>39.5733338</v>
      </c>
      <c r="AU841" s="1">
        <v>0</v>
      </c>
      <c r="AV841" s="2" t="s">
        <v>69</v>
      </c>
      <c r="AW841" s="1">
        <v>941.005</v>
      </c>
      <c r="AX841" s="1">
        <f>Table1[[#This Row],[Original Commissionable GMV]]-Table1[[#This Row],[Commission ]]-Table1[[#This Row],[Commission VAT]]-Table1[[#This Row],[FreeDeliveryFund]]</f>
        <v>808.4266662</v>
      </c>
      <c r="AY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M841" s="2"/>
    </row>
    <row r="842" spans="12:65" x14ac:dyDescent="0.25">
      <c r="L842" s="2">
        <v>504016</v>
      </c>
      <c r="M842" s="2" t="s">
        <v>52</v>
      </c>
      <c r="N842" s="2">
        <v>505837</v>
      </c>
      <c r="O842" t="s">
        <v>53</v>
      </c>
      <c r="P842">
        <v>3424739177</v>
      </c>
      <c r="Q842" s="5">
        <v>46050.727916666663</v>
      </c>
      <c r="R842" s="2" t="s">
        <v>54</v>
      </c>
      <c r="S842" s="2" t="s">
        <v>51</v>
      </c>
      <c r="T842" s="2" t="s">
        <v>55</v>
      </c>
      <c r="U842" s="2" t="s">
        <v>59</v>
      </c>
      <c r="V842" s="2" t="s">
        <v>57</v>
      </c>
      <c r="W842" s="2" t="s">
        <v>58</v>
      </c>
      <c r="X842" s="2" t="s">
        <v>59</v>
      </c>
      <c r="Y842" s="1">
        <v>683.98</v>
      </c>
      <c r="Z842" s="1">
        <v>683.98</v>
      </c>
      <c r="AA842" s="1">
        <v>0</v>
      </c>
      <c r="AB842" s="1">
        <v>29.99</v>
      </c>
      <c r="AC842" s="1">
        <v>0</v>
      </c>
      <c r="AD842" s="1">
        <v>80.312110000000004</v>
      </c>
      <c r="AE842" s="1">
        <v>653.97</v>
      </c>
      <c r="AG842" s="1">
        <v>0</v>
      </c>
      <c r="AH842" s="1">
        <v>60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11.96965</v>
      </c>
      <c r="AP842" s="1">
        <v>1.675751</v>
      </c>
      <c r="AQ842" s="1">
        <v>599.98245999999995</v>
      </c>
      <c r="AR842" s="1">
        <v>599.98245999999995</v>
      </c>
      <c r="AS842" s="1">
        <v>149.99562</v>
      </c>
      <c r="AT842" s="1">
        <v>20.9993868</v>
      </c>
      <c r="AU842" s="1">
        <v>31.99</v>
      </c>
      <c r="AV842" s="2" t="s">
        <v>60</v>
      </c>
      <c r="AW842" s="1">
        <v>467.35</v>
      </c>
      <c r="AX842" s="1">
        <f>Table1[[#This Row],[Original Commissionable GMV]]-Table1[[#This Row],[Commission ]]-Table1[[#This Row],[Commission VAT]]-Table1[[#This Row],[FreeDeliveryFund]]</f>
        <v>396.99745319999988</v>
      </c>
      <c r="AY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M842" s="2"/>
    </row>
    <row r="843" spans="12:65" x14ac:dyDescent="0.25">
      <c r="L843" s="2">
        <v>504016</v>
      </c>
      <c r="M843" s="2" t="s">
        <v>52</v>
      </c>
      <c r="N843" s="2">
        <v>505837</v>
      </c>
      <c r="O843" t="s">
        <v>53</v>
      </c>
      <c r="P843">
        <v>3424740341</v>
      </c>
      <c r="Q843" s="5">
        <v>46050.728229166663</v>
      </c>
      <c r="R843" s="2" t="s">
        <v>54</v>
      </c>
      <c r="S843" s="2" t="s">
        <v>51</v>
      </c>
      <c r="T843" s="2" t="s">
        <v>55</v>
      </c>
      <c r="U843" s="2" t="s">
        <v>56</v>
      </c>
      <c r="V843" s="2" t="s">
        <v>57</v>
      </c>
      <c r="W843" s="2" t="s">
        <v>58</v>
      </c>
      <c r="X843" s="2" t="s">
        <v>59</v>
      </c>
      <c r="Y843" s="1">
        <v>844</v>
      </c>
      <c r="Z843" s="1">
        <v>844</v>
      </c>
      <c r="AA843" s="1">
        <v>0</v>
      </c>
      <c r="AB843" s="1">
        <v>29.99</v>
      </c>
      <c r="AC843" s="1">
        <v>0</v>
      </c>
      <c r="AD843" s="1">
        <v>107.33211</v>
      </c>
      <c r="AE843" s="1">
        <v>873.99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14.77</v>
      </c>
      <c r="AP843" s="1">
        <v>2.0678000000000001</v>
      </c>
      <c r="AQ843" s="1">
        <v>740.35087999999996</v>
      </c>
      <c r="AR843" s="1">
        <v>740.35087999999996</v>
      </c>
      <c r="AS843" s="1">
        <v>185.08771999999999</v>
      </c>
      <c r="AT843" s="1">
        <v>25.912280800000001</v>
      </c>
      <c r="AU843" s="1">
        <v>32.99</v>
      </c>
      <c r="AV843" s="2" t="s">
        <v>60</v>
      </c>
      <c r="AW843" s="1">
        <v>583.17200000000003</v>
      </c>
      <c r="AX843" s="1">
        <f>Table1[[#This Row],[Original Commissionable GMV]]-Table1[[#This Row],[Commission ]]-Table1[[#This Row],[Commission VAT]]-Table1[[#This Row],[FreeDeliveryFund]]</f>
        <v>496.3608792</v>
      </c>
      <c r="AY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M843" s="2"/>
    </row>
    <row r="844" spans="12:65" x14ac:dyDescent="0.25">
      <c r="L844" s="2">
        <v>504016</v>
      </c>
      <c r="M844" s="2" t="s">
        <v>52</v>
      </c>
      <c r="N844" s="2">
        <v>505839</v>
      </c>
      <c r="O844" t="s">
        <v>53</v>
      </c>
      <c r="P844">
        <v>3424761342</v>
      </c>
      <c r="Q844" s="5">
        <v>46050.734317129631</v>
      </c>
      <c r="R844" s="2" t="s">
        <v>66</v>
      </c>
      <c r="S844" s="2" t="s">
        <v>51</v>
      </c>
      <c r="T844" s="2" t="s">
        <v>55</v>
      </c>
      <c r="U844" s="2" t="s">
        <v>56</v>
      </c>
      <c r="V844" s="2" t="s">
        <v>57</v>
      </c>
      <c r="W844" s="2" t="s">
        <v>58</v>
      </c>
      <c r="X844" s="2" t="s">
        <v>59</v>
      </c>
      <c r="Y844" s="1">
        <v>3159.89</v>
      </c>
      <c r="Z844" s="1">
        <v>3159.89</v>
      </c>
      <c r="AA844" s="1">
        <v>0</v>
      </c>
      <c r="AB844" s="1">
        <v>29.99</v>
      </c>
      <c r="AC844" s="1">
        <v>0</v>
      </c>
      <c r="AD844" s="1">
        <v>391.73964999999998</v>
      </c>
      <c r="AE844" s="1">
        <v>3189.88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55.298073250000002</v>
      </c>
      <c r="AP844" s="1">
        <v>7.7417302550000002</v>
      </c>
      <c r="AQ844" s="1">
        <v>2771.8333299999999</v>
      </c>
      <c r="AR844" s="1">
        <v>2771.8333299999999</v>
      </c>
      <c r="AS844" s="1">
        <v>692.95833000000005</v>
      </c>
      <c r="AT844" s="1">
        <v>97.014166200000005</v>
      </c>
      <c r="AU844" s="1">
        <v>31.99</v>
      </c>
      <c r="AV844" s="2" t="s">
        <v>60</v>
      </c>
      <c r="AW844" s="1">
        <v>2274.8879999999999</v>
      </c>
      <c r="AX844" s="1">
        <f>Table1[[#This Row],[Original Commissionable GMV]]-Table1[[#This Row],[Commission ]]-Table1[[#This Row],[Commission VAT]]-Table1[[#This Row],[FreeDeliveryFund]]</f>
        <v>1949.8708337999999</v>
      </c>
      <c r="AY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M844" s="2"/>
    </row>
    <row r="845" spans="12:65" x14ac:dyDescent="0.25">
      <c r="L845" s="2">
        <v>504016</v>
      </c>
      <c r="M845" s="2" t="s">
        <v>52</v>
      </c>
      <c r="N845" s="2">
        <v>505837</v>
      </c>
      <c r="O845" t="s">
        <v>63</v>
      </c>
      <c r="P845">
        <v>3424784071</v>
      </c>
      <c r="Q845" s="5">
        <v>46050.740752314814</v>
      </c>
      <c r="R845" s="2" t="s">
        <v>54</v>
      </c>
      <c r="S845" s="2" t="s">
        <v>51</v>
      </c>
      <c r="T845" s="2" t="s">
        <v>55</v>
      </c>
      <c r="U845" s="2" t="s">
        <v>56</v>
      </c>
      <c r="V845" s="2" t="s">
        <v>57</v>
      </c>
      <c r="W845" s="2" t="s">
        <v>58</v>
      </c>
      <c r="X845" s="2" t="s">
        <v>59</v>
      </c>
      <c r="Y845" s="1">
        <v>1319.89</v>
      </c>
      <c r="Z845" s="1">
        <v>1319.89</v>
      </c>
      <c r="AA845" s="1">
        <v>7</v>
      </c>
      <c r="AB845" s="1">
        <v>29.99</v>
      </c>
      <c r="AC845" s="1">
        <v>0</v>
      </c>
      <c r="AD845" s="1">
        <v>166.63439</v>
      </c>
      <c r="AE845" s="1">
        <v>1356.88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23.098075000000001</v>
      </c>
      <c r="AP845" s="1">
        <v>3.2337305000000001</v>
      </c>
      <c r="AQ845" s="1">
        <v>1157.7982500000001</v>
      </c>
      <c r="AR845" s="1">
        <v>1157.7982500000001</v>
      </c>
      <c r="AS845" s="1">
        <v>289.44956000000002</v>
      </c>
      <c r="AT845" s="1">
        <v>40.522938400000001</v>
      </c>
      <c r="AU845" s="1">
        <v>29.99</v>
      </c>
      <c r="AV845" s="2" t="s">
        <v>60</v>
      </c>
      <c r="AW845" s="1">
        <v>933.596</v>
      </c>
      <c r="AX845" s="1">
        <f>Table1[[#This Row],[Original Commissionable GMV]]-Table1[[#This Row],[Commission ]]-Table1[[#This Row],[Commission VAT]]-Table1[[#This Row],[FreeDeliveryFund]]</f>
        <v>797.83575159999998</v>
      </c>
      <c r="AY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M845" s="2"/>
    </row>
    <row r="846" spans="12:65" x14ac:dyDescent="0.25">
      <c r="L846" s="2">
        <v>504016</v>
      </c>
      <c r="M846" s="2" t="s">
        <v>52</v>
      </c>
      <c r="N846" s="2">
        <v>505835</v>
      </c>
      <c r="O846" t="s">
        <v>63</v>
      </c>
      <c r="P846">
        <v>3424791594</v>
      </c>
      <c r="Q846" s="5">
        <v>46050.74291666667</v>
      </c>
      <c r="R846" s="2" t="s">
        <v>62</v>
      </c>
      <c r="S846" s="2" t="s">
        <v>51</v>
      </c>
      <c r="T846" s="2" t="s">
        <v>55</v>
      </c>
      <c r="U846" s="2" t="s">
        <v>56</v>
      </c>
      <c r="V846" s="2" t="s">
        <v>57</v>
      </c>
      <c r="W846" s="2" t="s">
        <v>58</v>
      </c>
      <c r="X846" s="2" t="s">
        <v>59</v>
      </c>
      <c r="Y846" s="1">
        <v>295.99</v>
      </c>
      <c r="Z846" s="1">
        <v>295.99</v>
      </c>
      <c r="AA846" s="1">
        <v>26.99</v>
      </c>
      <c r="AB846" s="1">
        <v>14.8</v>
      </c>
      <c r="AC846" s="1">
        <v>0</v>
      </c>
      <c r="AD846" s="1">
        <v>41.481749999999998</v>
      </c>
      <c r="AE846" s="1">
        <v>337.78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259.64035000000001</v>
      </c>
      <c r="AR846" s="1">
        <v>259.64035000000001</v>
      </c>
      <c r="AS846" s="1">
        <v>64.910089999999997</v>
      </c>
      <c r="AT846" s="1">
        <v>9.0874126000000004</v>
      </c>
      <c r="AU846" s="1">
        <v>0</v>
      </c>
      <c r="AV846" s="2" t="s">
        <v>69</v>
      </c>
      <c r="AW846" s="1">
        <v>221.99199999999999</v>
      </c>
      <c r="AX846" s="1">
        <f>Table1[[#This Row],[Original Commissionable GMV]]-Table1[[#This Row],[Commission ]]-Table1[[#This Row],[Commission VAT]]-Table1[[#This Row],[FreeDeliveryFund]]</f>
        <v>185.64284740000002</v>
      </c>
      <c r="AY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M846" s="2"/>
    </row>
    <row r="847" spans="12:65" x14ac:dyDescent="0.25">
      <c r="L847" s="2">
        <v>504016</v>
      </c>
      <c r="M847" s="2" t="s">
        <v>52</v>
      </c>
      <c r="N847" s="2">
        <v>505839</v>
      </c>
      <c r="O847" t="s">
        <v>63</v>
      </c>
      <c r="P847">
        <v>3424844153</v>
      </c>
      <c r="Q847" s="5">
        <v>46050.757615740738</v>
      </c>
      <c r="R847" s="2" t="s">
        <v>54</v>
      </c>
      <c r="S847" s="2" t="s">
        <v>51</v>
      </c>
      <c r="T847" s="2" t="s">
        <v>77</v>
      </c>
      <c r="U847" s="2" t="s">
        <v>56</v>
      </c>
      <c r="V847" s="2" t="s">
        <v>57</v>
      </c>
      <c r="W847" s="2" t="s">
        <v>58</v>
      </c>
      <c r="X847" s="2" t="s">
        <v>59</v>
      </c>
      <c r="Y847" s="1">
        <v>844</v>
      </c>
      <c r="Z847" s="1">
        <v>844</v>
      </c>
      <c r="AA847" s="1">
        <v>0</v>
      </c>
      <c r="AB847" s="1">
        <v>0</v>
      </c>
      <c r="AC847" s="1">
        <v>0</v>
      </c>
      <c r="AD847" s="1">
        <v>88.101749999999996</v>
      </c>
      <c r="AE847" s="1">
        <v>717.4</v>
      </c>
      <c r="AG847" s="1">
        <v>0</v>
      </c>
      <c r="AH847" s="1">
        <v>126.6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14.77</v>
      </c>
      <c r="AP847" s="1">
        <v>2.0678000000000001</v>
      </c>
      <c r="AQ847" s="1">
        <v>740.35087999999996</v>
      </c>
      <c r="AR847" s="1">
        <v>740.35087999999996</v>
      </c>
      <c r="AS847" s="1">
        <v>185.08771999999999</v>
      </c>
      <c r="AT847" s="1">
        <v>25.912280800000001</v>
      </c>
      <c r="AU847" s="1">
        <v>0</v>
      </c>
      <c r="AV847" s="2" t="s">
        <v>69</v>
      </c>
      <c r="AW847" s="1">
        <v>616.16200000000003</v>
      </c>
      <c r="AX847" s="1">
        <f>Table1[[#This Row],[Original Commissionable GMV]]-Table1[[#This Row],[Commission ]]-Table1[[#This Row],[Commission VAT]]-Table1[[#This Row],[FreeDeliveryFund]]</f>
        <v>529.35087920000001</v>
      </c>
      <c r="AY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M847" s="2"/>
    </row>
    <row r="848" spans="12:65" x14ac:dyDescent="0.25">
      <c r="L848" s="2">
        <v>504016</v>
      </c>
      <c r="M848" s="2" t="s">
        <v>52</v>
      </c>
      <c r="N848" s="2">
        <v>505835</v>
      </c>
      <c r="O848" t="s">
        <v>53</v>
      </c>
      <c r="P848">
        <v>3424868441</v>
      </c>
      <c r="Q848" s="5">
        <v>46050.764178240737</v>
      </c>
      <c r="R848" s="2" t="s">
        <v>62</v>
      </c>
      <c r="S848" s="2" t="s">
        <v>51</v>
      </c>
      <c r="T848" s="2" t="s">
        <v>55</v>
      </c>
      <c r="U848" s="2" t="s">
        <v>59</v>
      </c>
      <c r="V848" s="2" t="s">
        <v>57</v>
      </c>
      <c r="W848" s="2" t="s">
        <v>58</v>
      </c>
      <c r="X848" s="2" t="s">
        <v>59</v>
      </c>
      <c r="Y848" s="1">
        <v>511.01</v>
      </c>
      <c r="Z848" s="1">
        <v>511.01</v>
      </c>
      <c r="AA848" s="1">
        <v>32.99</v>
      </c>
      <c r="AB848" s="1">
        <v>25.55</v>
      </c>
      <c r="AC848" s="1">
        <v>0</v>
      </c>
      <c r="AD848" s="1">
        <v>69.944739999999996</v>
      </c>
      <c r="AE848" s="1">
        <v>569.54999999999995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448.25439</v>
      </c>
      <c r="AR848" s="1">
        <v>448.25439</v>
      </c>
      <c r="AS848" s="1">
        <v>112.06359999999999</v>
      </c>
      <c r="AT848" s="1">
        <v>15.688904000000001</v>
      </c>
      <c r="AU848" s="1">
        <v>0</v>
      </c>
      <c r="AV848" s="2" t="s">
        <v>69</v>
      </c>
      <c r="AW848" s="1">
        <v>383.25700000000001</v>
      </c>
      <c r="AX848" s="1">
        <f>Table1[[#This Row],[Original Commissionable GMV]]-Table1[[#This Row],[Commission ]]-Table1[[#This Row],[Commission VAT]]-Table1[[#This Row],[FreeDeliveryFund]]</f>
        <v>320.50188600000001</v>
      </c>
      <c r="AY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M848" s="2"/>
    </row>
    <row r="849" spans="12:65" x14ac:dyDescent="0.25">
      <c r="L849" s="2">
        <v>504016</v>
      </c>
      <c r="M849" s="2" t="s">
        <v>52</v>
      </c>
      <c r="N849" s="2">
        <v>505839</v>
      </c>
      <c r="O849" t="s">
        <v>53</v>
      </c>
      <c r="P849">
        <v>3424896790</v>
      </c>
      <c r="Q849" s="5">
        <v>46050.771979166668</v>
      </c>
      <c r="R849" s="2" t="s">
        <v>54</v>
      </c>
      <c r="S849" s="2" t="s">
        <v>51</v>
      </c>
      <c r="T849" s="2" t="s">
        <v>55</v>
      </c>
      <c r="U849" s="2" t="s">
        <v>56</v>
      </c>
      <c r="V849" s="2" t="s">
        <v>57</v>
      </c>
      <c r="W849" s="2" t="s">
        <v>58</v>
      </c>
      <c r="X849" s="2" t="s">
        <v>59</v>
      </c>
      <c r="Y849" s="1">
        <v>249.99</v>
      </c>
      <c r="Z849" s="1">
        <v>249.99</v>
      </c>
      <c r="AA849" s="1">
        <v>0</v>
      </c>
      <c r="AB849" s="1">
        <v>12.5</v>
      </c>
      <c r="AC849" s="1">
        <v>0</v>
      </c>
      <c r="AD849" s="1">
        <v>32.235610000000001</v>
      </c>
      <c r="AE849" s="1">
        <v>262.49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4.3748250000000004</v>
      </c>
      <c r="AP849" s="1">
        <v>0.61247549999999995</v>
      </c>
      <c r="AQ849" s="1">
        <v>219.28946999999999</v>
      </c>
      <c r="AR849" s="1">
        <v>219.28946999999999</v>
      </c>
      <c r="AS849" s="1">
        <v>54.822369999999999</v>
      </c>
      <c r="AT849" s="1">
        <v>7.6751317999999999</v>
      </c>
      <c r="AU849" s="1">
        <v>30.99</v>
      </c>
      <c r="AV849" s="2" t="s">
        <v>60</v>
      </c>
      <c r="AW849" s="1">
        <v>151.51499999999999</v>
      </c>
      <c r="AX849" s="1">
        <f>Table1[[#This Row],[Original Commissionable GMV]]-Table1[[#This Row],[Commission ]]-Table1[[#This Row],[Commission VAT]]-Table1[[#This Row],[FreeDeliveryFund]]</f>
        <v>125.80196819999999</v>
      </c>
      <c r="AY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M849" s="2"/>
    </row>
    <row r="850" spans="12:65" x14ac:dyDescent="0.25">
      <c r="L850" s="2">
        <v>504016</v>
      </c>
      <c r="M850" s="2" t="s">
        <v>52</v>
      </c>
      <c r="N850" s="2">
        <v>505839</v>
      </c>
      <c r="O850" t="s">
        <v>65</v>
      </c>
      <c r="P850">
        <v>3424934275</v>
      </c>
      <c r="Q850" s="5">
        <v>46050.782372685186</v>
      </c>
      <c r="R850" s="2" t="s">
        <v>54</v>
      </c>
      <c r="S850" s="2" t="s">
        <v>51</v>
      </c>
      <c r="T850" s="2" t="s">
        <v>55</v>
      </c>
      <c r="U850" s="2" t="s">
        <v>56</v>
      </c>
      <c r="V850" s="2" t="s">
        <v>57</v>
      </c>
      <c r="W850" s="2" t="s">
        <v>58</v>
      </c>
      <c r="X850" s="2" t="s">
        <v>59</v>
      </c>
      <c r="Y850" s="1">
        <v>608.98</v>
      </c>
      <c r="Z850" s="1">
        <v>608.98</v>
      </c>
      <c r="AA850" s="1">
        <v>0</v>
      </c>
      <c r="AB850" s="1">
        <v>29.99</v>
      </c>
      <c r="AC850" s="1">
        <v>0</v>
      </c>
      <c r="AD850" s="1">
        <v>78.47</v>
      </c>
      <c r="AE850" s="1">
        <v>638.97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30</v>
      </c>
      <c r="AN850" s="1">
        <v>4.2</v>
      </c>
      <c r="AO850" s="1">
        <v>10.65715</v>
      </c>
      <c r="AP850" s="1">
        <v>1.4920009999999999</v>
      </c>
      <c r="AQ850" s="1">
        <v>534.19298000000003</v>
      </c>
      <c r="AR850" s="1">
        <v>534.19298000000003</v>
      </c>
      <c r="AS850" s="1">
        <v>133.54825</v>
      </c>
      <c r="AT850" s="1">
        <v>18.696755</v>
      </c>
      <c r="AU850" s="1">
        <v>29.99</v>
      </c>
      <c r="AV850" s="2" t="s">
        <v>60</v>
      </c>
      <c r="AW850" s="1">
        <v>380.39600000000002</v>
      </c>
      <c r="AX850" s="1">
        <f>Table1[[#This Row],[Original Commissionable GMV]]-Table1[[#This Row],[Commission ]]-Table1[[#This Row],[Commission VAT]]-Table1[[#This Row],[FreeDeliveryFund]]</f>
        <v>351.95797500000003</v>
      </c>
      <c r="AY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M850" s="2"/>
    </row>
    <row r="851" spans="12:65" x14ac:dyDescent="0.25">
      <c r="L851" s="2">
        <v>504016</v>
      </c>
      <c r="M851" s="2" t="s">
        <v>52</v>
      </c>
      <c r="N851" s="2">
        <v>505837</v>
      </c>
      <c r="O851" t="s">
        <v>53</v>
      </c>
      <c r="P851">
        <v>3425099701</v>
      </c>
      <c r="Q851" s="5">
        <v>46050.828958333332</v>
      </c>
      <c r="R851" s="2" t="s">
        <v>54</v>
      </c>
      <c r="S851" s="2" t="s">
        <v>51</v>
      </c>
      <c r="T851" s="2" t="s">
        <v>55</v>
      </c>
      <c r="U851" s="2" t="s">
        <v>56</v>
      </c>
      <c r="V851" s="2" t="s">
        <v>57</v>
      </c>
      <c r="W851" s="2" t="s">
        <v>58</v>
      </c>
      <c r="X851" s="2" t="s">
        <v>59</v>
      </c>
      <c r="Y851" s="1">
        <v>271.14999999999998</v>
      </c>
      <c r="Z851" s="1">
        <v>319</v>
      </c>
      <c r="AA851" s="1">
        <v>0</v>
      </c>
      <c r="AB851" s="1">
        <v>15.95</v>
      </c>
      <c r="AC851" s="1">
        <v>0</v>
      </c>
      <c r="AD851" s="1">
        <v>41.134210000000003</v>
      </c>
      <c r="AE851" s="1">
        <v>287.10000000000002</v>
      </c>
      <c r="AG851" s="1">
        <v>0</v>
      </c>
      <c r="AH851" s="1">
        <v>47.85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4.7451249999999998</v>
      </c>
      <c r="AP851" s="1">
        <v>0.66431750000000001</v>
      </c>
      <c r="AQ851" s="1">
        <v>237.85087999999999</v>
      </c>
      <c r="AR851" s="1">
        <v>237.85087999999999</v>
      </c>
      <c r="AS851" s="1">
        <v>59.462719999999997</v>
      </c>
      <c r="AT851" s="1">
        <v>8.3247807999999992</v>
      </c>
      <c r="AU851" s="1">
        <v>31.99</v>
      </c>
      <c r="AV851" s="2" t="s">
        <v>60</v>
      </c>
      <c r="AW851" s="1">
        <v>165.96299999999999</v>
      </c>
      <c r="AX851" s="1">
        <f>Table1[[#This Row],[Original Commissionable GMV]]-Table1[[#This Row],[Commission ]]-Table1[[#This Row],[Commission VAT]]-Table1[[#This Row],[FreeDeliveryFund]]</f>
        <v>138.07337919999998</v>
      </c>
      <c r="AY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M851" s="2"/>
    </row>
    <row r="852" spans="12:65" x14ac:dyDescent="0.25">
      <c r="L852" s="2">
        <v>504016</v>
      </c>
      <c r="M852" s="2" t="s">
        <v>52</v>
      </c>
      <c r="N852" s="2">
        <v>505839</v>
      </c>
      <c r="O852" t="s">
        <v>53</v>
      </c>
      <c r="P852">
        <v>3425102904</v>
      </c>
      <c r="Q852" s="5">
        <v>46050.829884259256</v>
      </c>
      <c r="R852" s="2" t="s">
        <v>54</v>
      </c>
      <c r="S852" s="2" t="s">
        <v>51</v>
      </c>
      <c r="T852" s="2" t="s">
        <v>55</v>
      </c>
      <c r="U852" s="2" t="s">
        <v>59</v>
      </c>
      <c r="V852" s="2" t="s">
        <v>57</v>
      </c>
      <c r="W852" s="2" t="s">
        <v>58</v>
      </c>
      <c r="X852" s="2" t="s">
        <v>59</v>
      </c>
      <c r="Y852" s="1">
        <v>839.97</v>
      </c>
      <c r="Z852" s="1">
        <v>839.97</v>
      </c>
      <c r="AA852" s="1">
        <v>30.99</v>
      </c>
      <c r="AB852" s="1">
        <v>29.99</v>
      </c>
      <c r="AC852" s="1">
        <v>0</v>
      </c>
      <c r="AD852" s="1">
        <v>110.64297999999999</v>
      </c>
      <c r="AE852" s="1">
        <v>900.95</v>
      </c>
      <c r="AG852" s="1">
        <v>0</v>
      </c>
      <c r="AH852" s="1">
        <v>0</v>
      </c>
      <c r="AI852" s="1">
        <v>0</v>
      </c>
      <c r="AJ852" s="1">
        <v>54.6</v>
      </c>
      <c r="AK852" s="1">
        <v>0</v>
      </c>
      <c r="AL852" s="1">
        <v>0</v>
      </c>
      <c r="AM852" s="1">
        <v>30</v>
      </c>
      <c r="AN852" s="1">
        <v>4.2</v>
      </c>
      <c r="AO852" s="1">
        <v>14.699475</v>
      </c>
      <c r="AP852" s="1">
        <v>2.0579265000000002</v>
      </c>
      <c r="AQ852" s="1">
        <v>736.81578999999999</v>
      </c>
      <c r="AR852" s="1">
        <v>736.81578999999999</v>
      </c>
      <c r="AS852" s="1">
        <v>184.20394999999999</v>
      </c>
      <c r="AT852" s="1">
        <v>25.788553</v>
      </c>
      <c r="AU852" s="1">
        <v>0</v>
      </c>
      <c r="AV852" s="2" t="s">
        <v>69</v>
      </c>
      <c r="AW852" s="1">
        <v>579.02</v>
      </c>
      <c r="AX852" s="1">
        <f>Table1[[#This Row],[Original Commissionable GMV]]-Table1[[#This Row],[Commission ]]-Table1[[#This Row],[Commission VAT]]-Table1[[#This Row],[FreeDeliveryFund]]</f>
        <v>526.82328700000005</v>
      </c>
      <c r="AY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M852" s="2"/>
    </row>
    <row r="853" spans="12:65" x14ac:dyDescent="0.25">
      <c r="L853" s="2">
        <v>504016</v>
      </c>
      <c r="M853" s="2" t="s">
        <v>52</v>
      </c>
      <c r="N853" s="2">
        <v>505837</v>
      </c>
      <c r="O853" t="s">
        <v>63</v>
      </c>
      <c r="P853">
        <v>3425111735</v>
      </c>
      <c r="Q853" s="5">
        <v>46050.832465277781</v>
      </c>
      <c r="R853" s="2" t="s">
        <v>62</v>
      </c>
      <c r="S853" s="2" t="s">
        <v>51</v>
      </c>
      <c r="T853" s="2" t="s">
        <v>55</v>
      </c>
      <c r="U853" s="2" t="s">
        <v>59</v>
      </c>
      <c r="V853" s="2" t="s">
        <v>57</v>
      </c>
      <c r="W853" s="2" t="s">
        <v>58</v>
      </c>
      <c r="X853" s="2" t="s">
        <v>59</v>
      </c>
      <c r="Y853" s="1">
        <v>237.99</v>
      </c>
      <c r="Z853" s="1">
        <v>237.99</v>
      </c>
      <c r="AA853" s="1">
        <v>29.99</v>
      </c>
      <c r="AB853" s="1">
        <v>11.9</v>
      </c>
      <c r="AC853" s="1">
        <v>0</v>
      </c>
      <c r="AD853" s="1">
        <v>34.371229999999997</v>
      </c>
      <c r="AE853" s="1">
        <v>279.88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208.76316</v>
      </c>
      <c r="AR853" s="1">
        <v>208.76316</v>
      </c>
      <c r="AS853" s="1">
        <v>52.19079</v>
      </c>
      <c r="AT853" s="1">
        <v>7.3067105999999997</v>
      </c>
      <c r="AU853" s="1">
        <v>0</v>
      </c>
      <c r="AV853" s="2" t="s">
        <v>69</v>
      </c>
      <c r="AW853" s="1">
        <v>178.49199999999999</v>
      </c>
      <c r="AX853" s="1">
        <f>Table1[[#This Row],[Original Commissionable GMV]]-Table1[[#This Row],[Commission ]]-Table1[[#This Row],[Commission VAT]]-Table1[[#This Row],[FreeDeliveryFund]]</f>
        <v>149.2656594</v>
      </c>
      <c r="AY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M853" s="2"/>
    </row>
    <row r="854" spans="12:65" x14ac:dyDescent="0.25">
      <c r="L854" s="2">
        <v>504016</v>
      </c>
      <c r="M854" s="2" t="s">
        <v>52</v>
      </c>
      <c r="N854" s="2">
        <v>505837</v>
      </c>
      <c r="O854" t="s">
        <v>65</v>
      </c>
      <c r="P854">
        <v>3425128741</v>
      </c>
      <c r="Q854" s="5">
        <v>46050.837500000001</v>
      </c>
      <c r="R854" s="2" t="s">
        <v>62</v>
      </c>
      <c r="S854" s="2" t="s">
        <v>51</v>
      </c>
      <c r="T854" s="2" t="s">
        <v>55</v>
      </c>
      <c r="U854" s="2" t="s">
        <v>56</v>
      </c>
      <c r="V854" s="2" t="s">
        <v>57</v>
      </c>
      <c r="W854" s="2" t="s">
        <v>58</v>
      </c>
      <c r="X854" s="2" t="s">
        <v>59</v>
      </c>
      <c r="Y854" s="1">
        <v>284.63</v>
      </c>
      <c r="Z854" s="1">
        <v>284.63</v>
      </c>
      <c r="AA854" s="1">
        <v>27.99</v>
      </c>
      <c r="AB854" s="1">
        <v>14.23</v>
      </c>
      <c r="AC854" s="1">
        <v>0</v>
      </c>
      <c r="AD854" s="1">
        <v>40.139470000000003</v>
      </c>
      <c r="AE854" s="1">
        <v>326.85000000000002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249.67544000000001</v>
      </c>
      <c r="AR854" s="1">
        <v>249.67544000000001</v>
      </c>
      <c r="AS854" s="1">
        <v>62.418860000000002</v>
      </c>
      <c r="AT854" s="1">
        <v>8.7386403999999995</v>
      </c>
      <c r="AU854" s="1">
        <v>0</v>
      </c>
      <c r="AV854" s="2" t="s">
        <v>69</v>
      </c>
      <c r="AW854" s="1">
        <v>213.47200000000001</v>
      </c>
      <c r="AX854" s="1">
        <f>Table1[[#This Row],[Original Commissionable GMV]]-Table1[[#This Row],[Commission ]]-Table1[[#This Row],[Commission VAT]]-Table1[[#This Row],[FreeDeliveryFund]]</f>
        <v>178.51793960000001</v>
      </c>
      <c r="AY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M854" s="2"/>
    </row>
    <row r="855" spans="12:65" x14ac:dyDescent="0.25">
      <c r="L855" s="2">
        <v>504016</v>
      </c>
      <c r="M855" s="2" t="s">
        <v>52</v>
      </c>
      <c r="N855" s="2">
        <v>505837</v>
      </c>
      <c r="O855" t="s">
        <v>63</v>
      </c>
      <c r="P855">
        <v>3425163917</v>
      </c>
      <c r="Q855" s="5">
        <v>46050.848217592589</v>
      </c>
      <c r="R855" s="2" t="s">
        <v>54</v>
      </c>
      <c r="S855" s="2" t="s">
        <v>51</v>
      </c>
      <c r="T855" s="2" t="s">
        <v>55</v>
      </c>
      <c r="U855" s="2" t="s">
        <v>56</v>
      </c>
      <c r="V855" s="2" t="s">
        <v>57</v>
      </c>
      <c r="W855" s="2" t="s">
        <v>58</v>
      </c>
      <c r="X855" s="2" t="s">
        <v>59</v>
      </c>
      <c r="Y855" s="1">
        <v>866.99</v>
      </c>
      <c r="Z855" s="1">
        <v>866.99</v>
      </c>
      <c r="AA855" s="1">
        <v>0</v>
      </c>
      <c r="AB855" s="1">
        <v>29.99</v>
      </c>
      <c r="AC855" s="1">
        <v>0</v>
      </c>
      <c r="AD855" s="1">
        <v>110.15544</v>
      </c>
      <c r="AE855" s="1">
        <v>896.98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15.172325000000001</v>
      </c>
      <c r="AP855" s="1">
        <v>2.1241254999999999</v>
      </c>
      <c r="AQ855" s="1">
        <v>760.51754000000005</v>
      </c>
      <c r="AR855" s="1">
        <v>760.51754000000005</v>
      </c>
      <c r="AS855" s="1">
        <v>190.12939</v>
      </c>
      <c r="AT855" s="1">
        <v>26.618114599999998</v>
      </c>
      <c r="AU855" s="1">
        <v>28.99</v>
      </c>
      <c r="AV855" s="2" t="s">
        <v>60</v>
      </c>
      <c r="AW855" s="1">
        <v>603.95600000000002</v>
      </c>
      <c r="AX855" s="1">
        <f>Table1[[#This Row],[Original Commissionable GMV]]-Table1[[#This Row],[Commission ]]-Table1[[#This Row],[Commission VAT]]-Table1[[#This Row],[FreeDeliveryFund]]</f>
        <v>514.78003539999997</v>
      </c>
      <c r="AY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M855" s="2"/>
    </row>
    <row r="856" spans="12:65" x14ac:dyDescent="0.25">
      <c r="L856" s="2">
        <v>504016</v>
      </c>
      <c r="M856" s="2" t="s">
        <v>52</v>
      </c>
      <c r="N856" s="2">
        <v>505839</v>
      </c>
      <c r="O856" t="s">
        <v>63</v>
      </c>
      <c r="P856">
        <v>3425204821</v>
      </c>
      <c r="Q856" s="5">
        <v>46050.861157407409</v>
      </c>
      <c r="R856" s="2" t="s">
        <v>54</v>
      </c>
      <c r="S856" s="2" t="s">
        <v>51</v>
      </c>
      <c r="T856" s="2" t="s">
        <v>55</v>
      </c>
      <c r="U856" s="2" t="s">
        <v>56</v>
      </c>
      <c r="V856" s="2" t="s">
        <v>57</v>
      </c>
      <c r="W856" s="2" t="s">
        <v>58</v>
      </c>
      <c r="X856" s="2" t="s">
        <v>59</v>
      </c>
      <c r="Y856" s="1">
        <v>425.99</v>
      </c>
      <c r="Z856" s="1">
        <v>425.99</v>
      </c>
      <c r="AA856" s="1">
        <v>28.99</v>
      </c>
      <c r="AB856" s="1">
        <v>21.3</v>
      </c>
      <c r="AC856" s="1">
        <v>0</v>
      </c>
      <c r="AD856" s="1">
        <v>58.49053</v>
      </c>
      <c r="AE856" s="1">
        <v>476.28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7.4548249999999996</v>
      </c>
      <c r="AP856" s="1">
        <v>1.0436755</v>
      </c>
      <c r="AQ856" s="1">
        <v>373.67543999999998</v>
      </c>
      <c r="AR856" s="1">
        <v>373.67543999999998</v>
      </c>
      <c r="AS856" s="1">
        <v>93.418859999999995</v>
      </c>
      <c r="AT856" s="1">
        <v>13.078640399999999</v>
      </c>
      <c r="AU856" s="1">
        <v>0</v>
      </c>
      <c r="AV856" s="2" t="s">
        <v>69</v>
      </c>
      <c r="AW856" s="1">
        <v>310.99400000000003</v>
      </c>
      <c r="AX856" s="1">
        <f>Table1[[#This Row],[Original Commissionable GMV]]-Table1[[#This Row],[Commission ]]-Table1[[#This Row],[Commission VAT]]-Table1[[#This Row],[FreeDeliveryFund]]</f>
        <v>267.1779396</v>
      </c>
      <c r="AY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M856" s="2"/>
    </row>
    <row r="857" spans="12:65" x14ac:dyDescent="0.25">
      <c r="L857" s="2">
        <v>504016</v>
      </c>
      <c r="M857" s="2" t="s">
        <v>52</v>
      </c>
      <c r="N857" s="2">
        <v>505839</v>
      </c>
      <c r="O857" t="s">
        <v>53</v>
      </c>
      <c r="P857">
        <v>3425266257</v>
      </c>
      <c r="Q857" s="5">
        <v>46050.881898148145</v>
      </c>
      <c r="R857" s="2" t="s">
        <v>54</v>
      </c>
      <c r="S857" s="2" t="s">
        <v>51</v>
      </c>
      <c r="T857" s="2" t="s">
        <v>55</v>
      </c>
      <c r="U857" s="2" t="s">
        <v>56</v>
      </c>
      <c r="V857" s="2" t="s">
        <v>57</v>
      </c>
      <c r="W857" s="2" t="s">
        <v>58</v>
      </c>
      <c r="X857" s="2" t="s">
        <v>59</v>
      </c>
      <c r="Y857" s="1">
        <v>250</v>
      </c>
      <c r="Z857" s="1">
        <v>250</v>
      </c>
      <c r="AA857" s="1">
        <v>0</v>
      </c>
      <c r="AB857" s="1">
        <v>12.5</v>
      </c>
      <c r="AC857" s="1">
        <v>0</v>
      </c>
      <c r="AD857" s="1">
        <v>32.236840000000001</v>
      </c>
      <c r="AE857" s="1">
        <v>262.5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4.375</v>
      </c>
      <c r="AP857" s="1">
        <v>0.61250000000000004</v>
      </c>
      <c r="AQ857" s="1">
        <v>219.29825</v>
      </c>
      <c r="AR857" s="1">
        <v>219.29825</v>
      </c>
      <c r="AS857" s="1">
        <v>54.824559999999998</v>
      </c>
      <c r="AT857" s="1">
        <v>7.6754384</v>
      </c>
      <c r="AU857" s="1">
        <v>34.99</v>
      </c>
      <c r="AV857" s="2" t="s">
        <v>60</v>
      </c>
      <c r="AW857" s="1">
        <v>147.523</v>
      </c>
      <c r="AX857" s="1">
        <f>Table1[[#This Row],[Original Commissionable GMV]]-Table1[[#This Row],[Commission ]]-Table1[[#This Row],[Commission VAT]]-Table1[[#This Row],[FreeDeliveryFund]]</f>
        <v>121.80825160000001</v>
      </c>
      <c r="AY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M857" s="2"/>
    </row>
    <row r="858" spans="12:65" x14ac:dyDescent="0.25">
      <c r="L858" s="2">
        <v>504016</v>
      </c>
      <c r="M858" s="2" t="s">
        <v>52</v>
      </c>
      <c r="N858" s="2">
        <v>505837</v>
      </c>
      <c r="O858" t="s">
        <v>65</v>
      </c>
      <c r="P858">
        <v>3425266936</v>
      </c>
      <c r="Q858" s="5">
        <v>46050.882152777776</v>
      </c>
      <c r="R858" s="2" t="s">
        <v>54</v>
      </c>
      <c r="S858" s="2" t="s">
        <v>51</v>
      </c>
      <c r="T858" s="2" t="s">
        <v>55</v>
      </c>
      <c r="U858" s="2" t="s">
        <v>59</v>
      </c>
      <c r="V858" s="2" t="s">
        <v>57</v>
      </c>
      <c r="W858" s="2" t="s">
        <v>58</v>
      </c>
      <c r="X858" s="2" t="s">
        <v>59</v>
      </c>
      <c r="Y858" s="1">
        <v>776.99</v>
      </c>
      <c r="Z858" s="1">
        <v>776.99</v>
      </c>
      <c r="AA858" s="1">
        <v>35.99</v>
      </c>
      <c r="AB858" s="1">
        <v>29.99</v>
      </c>
      <c r="AC858" s="1">
        <v>0</v>
      </c>
      <c r="AD858" s="1">
        <v>103.52263000000001</v>
      </c>
      <c r="AE858" s="1">
        <v>842.97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13.597325</v>
      </c>
      <c r="AP858" s="1">
        <v>1.9036255</v>
      </c>
      <c r="AQ858" s="1">
        <v>681.57018000000005</v>
      </c>
      <c r="AR858" s="1">
        <v>681.57018000000005</v>
      </c>
      <c r="AS858" s="1">
        <v>170.39255</v>
      </c>
      <c r="AT858" s="1">
        <v>23.854956999999999</v>
      </c>
      <c r="AU858" s="1">
        <v>0</v>
      </c>
      <c r="AV858" s="2" t="s">
        <v>69</v>
      </c>
      <c r="AW858" s="1">
        <v>567.24199999999996</v>
      </c>
      <c r="AX858" s="1">
        <f>Table1[[#This Row],[Original Commissionable GMV]]-Table1[[#This Row],[Commission ]]-Table1[[#This Row],[Commission VAT]]-Table1[[#This Row],[FreeDeliveryFund]]</f>
        <v>487.32267300000001</v>
      </c>
      <c r="AY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M858" s="2"/>
    </row>
    <row r="859" spans="12:65" x14ac:dyDescent="0.25">
      <c r="L859" s="2">
        <v>504016</v>
      </c>
      <c r="M859" s="2" t="s">
        <v>52</v>
      </c>
      <c r="N859" s="2">
        <v>505839</v>
      </c>
      <c r="O859" t="s">
        <v>53</v>
      </c>
      <c r="P859">
        <v>3425277354</v>
      </c>
      <c r="Q859" s="5">
        <v>46050.885787037034</v>
      </c>
      <c r="R859" s="2" t="s">
        <v>66</v>
      </c>
      <c r="S859" s="2" t="s">
        <v>51</v>
      </c>
      <c r="T859" s="2" t="s">
        <v>55</v>
      </c>
      <c r="U859" s="2" t="s">
        <v>56</v>
      </c>
      <c r="V859" s="2" t="s">
        <v>57</v>
      </c>
      <c r="W859" s="2" t="s">
        <v>58</v>
      </c>
      <c r="X859" s="2" t="s">
        <v>59</v>
      </c>
      <c r="Y859" s="1">
        <v>719.47</v>
      </c>
      <c r="Z859" s="1">
        <v>750.97</v>
      </c>
      <c r="AA859" s="1">
        <v>9</v>
      </c>
      <c r="AB859" s="1">
        <v>29.99</v>
      </c>
      <c r="AC859" s="1">
        <v>0</v>
      </c>
      <c r="AD859" s="1">
        <v>97.012630000000001</v>
      </c>
      <c r="AE859" s="1">
        <v>758.46</v>
      </c>
      <c r="AG859" s="1">
        <v>0</v>
      </c>
      <c r="AH859" s="1">
        <v>31.5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12.590725000000001</v>
      </c>
      <c r="AP859" s="1">
        <v>1.7627014999999999</v>
      </c>
      <c r="AQ859" s="1">
        <v>631.11404000000005</v>
      </c>
      <c r="AR859" s="1">
        <v>631.11404000000005</v>
      </c>
      <c r="AS859" s="1">
        <v>157.77851000000001</v>
      </c>
      <c r="AT859" s="1">
        <v>22.088991400000001</v>
      </c>
      <c r="AU859" s="1">
        <v>31.99</v>
      </c>
      <c r="AV859" s="2" t="s">
        <v>60</v>
      </c>
      <c r="AW859" s="1">
        <v>493.25900000000001</v>
      </c>
      <c r="AX859" s="1">
        <f>Table1[[#This Row],[Original Commissionable GMV]]-Table1[[#This Row],[Commission ]]-Table1[[#This Row],[Commission VAT]]-Table1[[#This Row],[FreeDeliveryFund]]</f>
        <v>419.25653860000006</v>
      </c>
      <c r="AY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M859" s="2"/>
    </row>
    <row r="860" spans="12:65" x14ac:dyDescent="0.25">
      <c r="L860" s="2">
        <v>504016</v>
      </c>
      <c r="M860" s="2" t="s">
        <v>52</v>
      </c>
      <c r="N860" s="2">
        <v>505839</v>
      </c>
      <c r="O860" t="s">
        <v>53</v>
      </c>
      <c r="P860">
        <v>3425305987</v>
      </c>
      <c r="Q860" s="5">
        <v>46050.896122685182</v>
      </c>
      <c r="R860" s="2" t="s">
        <v>54</v>
      </c>
      <c r="S860" s="2" t="s">
        <v>51</v>
      </c>
      <c r="T860" s="2" t="s">
        <v>55</v>
      </c>
      <c r="U860" s="2" t="s">
        <v>59</v>
      </c>
      <c r="V860" s="2" t="s">
        <v>57</v>
      </c>
      <c r="W860" s="2" t="s">
        <v>58</v>
      </c>
      <c r="X860" s="2" t="s">
        <v>59</v>
      </c>
      <c r="Y860" s="1">
        <v>1057.1500000000001</v>
      </c>
      <c r="Z860" s="1">
        <v>1057.1500000000001</v>
      </c>
      <c r="AA860" s="1">
        <v>29.99</v>
      </c>
      <c r="AB860" s="1">
        <v>29.99</v>
      </c>
      <c r="AC860" s="1">
        <v>0</v>
      </c>
      <c r="AD860" s="1">
        <v>137.19139999999999</v>
      </c>
      <c r="AE860" s="1">
        <v>1117.1300000000001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18.500125000000001</v>
      </c>
      <c r="AP860" s="1">
        <v>2.5900175000000001</v>
      </c>
      <c r="AQ860" s="1">
        <v>927.32456000000002</v>
      </c>
      <c r="AR860" s="1">
        <v>927.32456000000002</v>
      </c>
      <c r="AS860" s="1">
        <v>231.83114</v>
      </c>
      <c r="AT860" s="1">
        <v>32.456359599999999</v>
      </c>
      <c r="AU860" s="1">
        <v>0</v>
      </c>
      <c r="AV860" s="2" t="s">
        <v>69</v>
      </c>
      <c r="AW860" s="1">
        <v>771.77200000000005</v>
      </c>
      <c r="AX860" s="1">
        <f>Table1[[#This Row],[Original Commissionable GMV]]-Table1[[#This Row],[Commission ]]-Table1[[#This Row],[Commission VAT]]-Table1[[#This Row],[FreeDeliveryFund]]</f>
        <v>663.03706039999997</v>
      </c>
      <c r="AY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M860" s="2"/>
    </row>
    <row r="861" spans="12:65" x14ac:dyDescent="0.25">
      <c r="L861" s="2">
        <v>504016</v>
      </c>
      <c r="M861" s="2" t="s">
        <v>52</v>
      </c>
      <c r="N861" s="2">
        <v>505839</v>
      </c>
      <c r="O861" t="s">
        <v>65</v>
      </c>
      <c r="P861">
        <v>3425347471</v>
      </c>
      <c r="Q861" s="5">
        <v>46050.912060185183</v>
      </c>
      <c r="R861" s="2" t="s">
        <v>54</v>
      </c>
      <c r="S861" s="2" t="s">
        <v>51</v>
      </c>
      <c r="T861" s="2" t="s">
        <v>55</v>
      </c>
      <c r="U861" s="2" t="s">
        <v>59</v>
      </c>
      <c r="V861" s="2" t="s">
        <v>57</v>
      </c>
      <c r="W861" s="2" t="s">
        <v>58</v>
      </c>
      <c r="X861" s="2" t="s">
        <v>59</v>
      </c>
      <c r="Y861" s="1">
        <v>253.69</v>
      </c>
      <c r="Z861" s="1">
        <v>253.69</v>
      </c>
      <c r="AA861" s="1">
        <v>7</v>
      </c>
      <c r="AB861" s="1">
        <v>12.68</v>
      </c>
      <c r="AC861" s="1">
        <v>0</v>
      </c>
      <c r="AD861" s="1">
        <v>33.571750000000002</v>
      </c>
      <c r="AE861" s="1">
        <v>273.37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4.4395749999999996</v>
      </c>
      <c r="AP861" s="1">
        <v>0.62154050000000005</v>
      </c>
      <c r="AQ861" s="1">
        <v>222.53509</v>
      </c>
      <c r="AR861" s="1">
        <v>222.53509</v>
      </c>
      <c r="AS861" s="1">
        <v>55.633769999999998</v>
      </c>
      <c r="AT861" s="1">
        <v>7.7887278000000002</v>
      </c>
      <c r="AU861" s="1">
        <v>26.99</v>
      </c>
      <c r="AV861" s="2" t="s">
        <v>60</v>
      </c>
      <c r="AW861" s="1">
        <v>158.21600000000001</v>
      </c>
      <c r="AX861" s="1">
        <f>Table1[[#This Row],[Original Commissionable GMV]]-Table1[[#This Row],[Commission ]]-Table1[[#This Row],[Commission VAT]]-Table1[[#This Row],[FreeDeliveryFund]]</f>
        <v>132.12259219999999</v>
      </c>
      <c r="AY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M861" s="2"/>
    </row>
    <row r="862" spans="12:65" x14ac:dyDescent="0.25">
      <c r="L862" s="2">
        <v>504016</v>
      </c>
      <c r="M862" s="2" t="s">
        <v>52</v>
      </c>
      <c r="N862" s="2">
        <v>505837</v>
      </c>
      <c r="O862" t="s">
        <v>63</v>
      </c>
      <c r="P862">
        <v>3425417202</v>
      </c>
      <c r="Q862" s="5">
        <v>46050.943009259259</v>
      </c>
      <c r="R862" s="2" t="s">
        <v>54</v>
      </c>
      <c r="S862" s="2" t="s">
        <v>51</v>
      </c>
      <c r="T862" s="2" t="s">
        <v>55</v>
      </c>
      <c r="U862" s="2" t="s">
        <v>59</v>
      </c>
      <c r="V862" s="2" t="s">
        <v>57</v>
      </c>
      <c r="W862" s="2" t="s">
        <v>58</v>
      </c>
      <c r="X862" s="2" t="s">
        <v>59</v>
      </c>
      <c r="Y862" s="1">
        <v>651.32000000000005</v>
      </c>
      <c r="Z862" s="1">
        <v>694.16</v>
      </c>
      <c r="AA862" s="1">
        <v>0</v>
      </c>
      <c r="AB862" s="1">
        <v>29.99</v>
      </c>
      <c r="AC862" s="1">
        <v>0</v>
      </c>
      <c r="AD862" s="1">
        <v>88.930700000000002</v>
      </c>
      <c r="AE862" s="1">
        <v>681.31</v>
      </c>
      <c r="AG862" s="1">
        <v>0</v>
      </c>
      <c r="AH862" s="1">
        <v>42.84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11.398099999999999</v>
      </c>
      <c r="AP862" s="1">
        <v>1.595734</v>
      </c>
      <c r="AQ862" s="1">
        <v>571.33333000000005</v>
      </c>
      <c r="AR862" s="1">
        <v>571.33333000000005</v>
      </c>
      <c r="AS862" s="1">
        <v>142.83332999999999</v>
      </c>
      <c r="AT862" s="1">
        <v>19.9966662</v>
      </c>
      <c r="AU862" s="1">
        <v>29.99</v>
      </c>
      <c r="AV862" s="2" t="s">
        <v>60</v>
      </c>
      <c r="AW862" s="1">
        <v>445.50599999999997</v>
      </c>
      <c r="AX862" s="1">
        <f>Table1[[#This Row],[Original Commissionable GMV]]-Table1[[#This Row],[Commission ]]-Table1[[#This Row],[Commission VAT]]-Table1[[#This Row],[FreeDeliveryFund]]</f>
        <v>378.51333380000005</v>
      </c>
      <c r="AY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M862" s="2"/>
    </row>
    <row r="863" spans="12:65" x14ac:dyDescent="0.25">
      <c r="L863" s="2">
        <v>504016</v>
      </c>
      <c r="M863" s="2" t="s">
        <v>52</v>
      </c>
      <c r="N863" s="2">
        <v>505835</v>
      </c>
      <c r="O863" t="s">
        <v>53</v>
      </c>
      <c r="P863">
        <v>3425473130</v>
      </c>
      <c r="Q863" s="5">
        <v>46050.973263888889</v>
      </c>
      <c r="R863" s="2" t="s">
        <v>54</v>
      </c>
      <c r="S863" s="2" t="s">
        <v>51</v>
      </c>
      <c r="T863" s="2" t="s">
        <v>55</v>
      </c>
      <c r="U863" s="2" t="s">
        <v>59</v>
      </c>
      <c r="V863" s="2" t="s">
        <v>57</v>
      </c>
      <c r="W863" s="2" t="s">
        <v>58</v>
      </c>
      <c r="X863" s="2" t="s">
        <v>59</v>
      </c>
      <c r="Y863" s="1">
        <v>880.92</v>
      </c>
      <c r="Z863" s="1">
        <v>880.92</v>
      </c>
      <c r="AA863" s="1">
        <v>0</v>
      </c>
      <c r="AB863" s="1">
        <v>29.99</v>
      </c>
      <c r="AC863" s="1">
        <v>0</v>
      </c>
      <c r="AD863" s="1">
        <v>111.86614</v>
      </c>
      <c r="AE863" s="1">
        <v>910.91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15.4161</v>
      </c>
      <c r="AP863" s="1">
        <v>2.1582539999999999</v>
      </c>
      <c r="AQ863" s="1">
        <v>772.73684000000003</v>
      </c>
      <c r="AR863" s="1">
        <v>772.73684000000003</v>
      </c>
      <c r="AS863" s="1">
        <v>193.18421000000001</v>
      </c>
      <c r="AT863" s="1">
        <v>27.0457894</v>
      </c>
      <c r="AU863" s="1">
        <v>33.99</v>
      </c>
      <c r="AV863" s="2" t="s">
        <v>60</v>
      </c>
      <c r="AW863" s="1">
        <v>609.12599999999998</v>
      </c>
      <c r="AX863" s="1">
        <f>Table1[[#This Row],[Original Commissionable GMV]]-Table1[[#This Row],[Commission ]]-Table1[[#This Row],[Commission VAT]]-Table1[[#This Row],[FreeDeliveryFund]]</f>
        <v>518.51684060000002</v>
      </c>
      <c r="AY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M863" s="2"/>
    </row>
    <row r="864" spans="12:65" x14ac:dyDescent="0.25">
      <c r="L864" s="2">
        <v>504016</v>
      </c>
      <c r="M864" s="2" t="s">
        <v>52</v>
      </c>
      <c r="N864" s="2">
        <v>505837</v>
      </c>
      <c r="O864" t="s">
        <v>53</v>
      </c>
      <c r="P864">
        <v>3425479473</v>
      </c>
      <c r="Q864" s="5">
        <v>46050.977187500001</v>
      </c>
      <c r="R864" s="2" t="s">
        <v>54</v>
      </c>
      <c r="S864" s="2" t="s">
        <v>51</v>
      </c>
      <c r="T864" s="2" t="s">
        <v>55</v>
      </c>
      <c r="U864" s="2" t="s">
        <v>59</v>
      </c>
      <c r="V864" s="2" t="s">
        <v>57</v>
      </c>
      <c r="W864" s="2" t="s">
        <v>58</v>
      </c>
      <c r="X864" s="2" t="s">
        <v>59</v>
      </c>
      <c r="Y864" s="1">
        <v>844</v>
      </c>
      <c r="Z864" s="1">
        <v>844</v>
      </c>
      <c r="AA864" s="1">
        <v>0</v>
      </c>
      <c r="AB864" s="1">
        <v>29.99</v>
      </c>
      <c r="AC864" s="1">
        <v>0</v>
      </c>
      <c r="AD864" s="1">
        <v>107.33211</v>
      </c>
      <c r="AE864" s="1">
        <v>873.99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14.77</v>
      </c>
      <c r="AP864" s="1">
        <v>2.0678000000000001</v>
      </c>
      <c r="AQ864" s="1">
        <v>740.35087999999996</v>
      </c>
      <c r="AR864" s="1">
        <v>740.35087999999996</v>
      </c>
      <c r="AS864" s="1">
        <v>185.08771999999999</v>
      </c>
      <c r="AT864" s="1">
        <v>25.912280800000001</v>
      </c>
      <c r="AU864" s="1">
        <v>32.99</v>
      </c>
      <c r="AV864" s="2" t="s">
        <v>60</v>
      </c>
      <c r="AW864" s="1">
        <v>583.17200000000003</v>
      </c>
      <c r="AX864" s="1">
        <f>Table1[[#This Row],[Original Commissionable GMV]]-Table1[[#This Row],[Commission ]]-Table1[[#This Row],[Commission VAT]]-Table1[[#This Row],[FreeDeliveryFund]]</f>
        <v>496.3608792</v>
      </c>
      <c r="AY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M864" s="2"/>
    </row>
    <row r="865" spans="12:65" x14ac:dyDescent="0.25">
      <c r="L865" s="2">
        <v>504016</v>
      </c>
      <c r="M865" s="2" t="s">
        <v>52</v>
      </c>
      <c r="N865" s="2">
        <v>505837</v>
      </c>
      <c r="O865" t="s">
        <v>53</v>
      </c>
      <c r="P865">
        <v>3426161415</v>
      </c>
      <c r="Q865" s="5">
        <v>46051.559050925927</v>
      </c>
      <c r="R865" s="2" t="s">
        <v>54</v>
      </c>
      <c r="S865" s="2" t="s">
        <v>51</v>
      </c>
      <c r="T865" s="2" t="s">
        <v>55</v>
      </c>
      <c r="U865" s="2" t="s">
        <v>59</v>
      </c>
      <c r="V865" s="2" t="s">
        <v>57</v>
      </c>
      <c r="W865" s="2" t="s">
        <v>58</v>
      </c>
      <c r="X865" s="2" t="s">
        <v>59</v>
      </c>
      <c r="Y865" s="1">
        <v>1208</v>
      </c>
      <c r="Z865" s="1">
        <v>1208</v>
      </c>
      <c r="AA865" s="1">
        <v>0</v>
      </c>
      <c r="AB865" s="1">
        <v>29.99</v>
      </c>
      <c r="AC865" s="1">
        <v>0</v>
      </c>
      <c r="AD865" s="1">
        <v>152.03386</v>
      </c>
      <c r="AE865" s="1">
        <v>1237.99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30</v>
      </c>
      <c r="AN865" s="1">
        <v>4.2</v>
      </c>
      <c r="AO865" s="1">
        <v>21.14</v>
      </c>
      <c r="AP865" s="1">
        <v>2.9596</v>
      </c>
      <c r="AQ865" s="1">
        <v>1059.64912</v>
      </c>
      <c r="AR865" s="1">
        <v>1059.64912</v>
      </c>
      <c r="AS865" s="1">
        <v>264.91228000000001</v>
      </c>
      <c r="AT865" s="1">
        <v>37.087719200000002</v>
      </c>
      <c r="AU865" s="1">
        <v>36.99</v>
      </c>
      <c r="AV865" s="2" t="s">
        <v>60</v>
      </c>
      <c r="AW865" s="1">
        <v>810.71</v>
      </c>
      <c r="AX865" s="1">
        <f>Table1[[#This Row],[Original Commissionable GMV]]-Table1[[#This Row],[Commission ]]-Table1[[#This Row],[Commission VAT]]-Table1[[#This Row],[FreeDeliveryFund]]</f>
        <v>720.65912079999998</v>
      </c>
      <c r="AY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M865" s="2"/>
    </row>
    <row r="866" spans="12:65" x14ac:dyDescent="0.25">
      <c r="L866" s="2">
        <v>504016</v>
      </c>
      <c r="M866" s="2" t="s">
        <v>52</v>
      </c>
      <c r="N866" s="2">
        <v>505835</v>
      </c>
      <c r="O866" t="s">
        <v>65</v>
      </c>
      <c r="P866">
        <v>3426163148</v>
      </c>
      <c r="Q866" s="5">
        <v>46051.559687499997</v>
      </c>
      <c r="R866" s="2" t="s">
        <v>54</v>
      </c>
      <c r="S866" s="2" t="s">
        <v>51</v>
      </c>
      <c r="T866" s="2" t="s">
        <v>55</v>
      </c>
      <c r="U866" s="2" t="s">
        <v>56</v>
      </c>
      <c r="V866" s="2" t="s">
        <v>57</v>
      </c>
      <c r="W866" s="2" t="s">
        <v>58</v>
      </c>
      <c r="X866" s="2" t="s">
        <v>59</v>
      </c>
      <c r="Y866" s="1">
        <v>118</v>
      </c>
      <c r="Z866" s="1">
        <v>118</v>
      </c>
      <c r="AA866" s="1">
        <v>28.99</v>
      </c>
      <c r="AB866" s="1">
        <v>5.9</v>
      </c>
      <c r="AC866" s="1">
        <v>0</v>
      </c>
      <c r="AD866" s="1">
        <v>18.775960000000001</v>
      </c>
      <c r="AE866" s="1">
        <v>152.88999999999999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2.0649999999999999</v>
      </c>
      <c r="AP866" s="1">
        <v>0.28910000000000002</v>
      </c>
      <c r="AQ866" s="1">
        <v>103.50877</v>
      </c>
      <c r="AR866" s="1">
        <v>103.50877</v>
      </c>
      <c r="AS866" s="1">
        <v>25.877189999999999</v>
      </c>
      <c r="AT866" s="1">
        <v>3.6228066000000001</v>
      </c>
      <c r="AU866" s="1">
        <v>0</v>
      </c>
      <c r="AV866" s="2" t="s">
        <v>69</v>
      </c>
      <c r="AW866" s="1">
        <v>86.146000000000001</v>
      </c>
      <c r="AX866" s="1">
        <f>Table1[[#This Row],[Original Commissionable GMV]]-Table1[[#This Row],[Commission ]]-Table1[[#This Row],[Commission VAT]]-Table1[[#This Row],[FreeDeliveryFund]]</f>
        <v>74.008773399999995</v>
      </c>
      <c r="AY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M866" s="2"/>
    </row>
    <row r="867" spans="12:65" x14ac:dyDescent="0.25">
      <c r="L867" s="2">
        <v>504016</v>
      </c>
      <c r="M867" s="2" t="s">
        <v>52</v>
      </c>
      <c r="N867" s="2">
        <v>505839</v>
      </c>
      <c r="O867" t="s">
        <v>63</v>
      </c>
      <c r="P867">
        <v>3426169505</v>
      </c>
      <c r="Q867" s="5">
        <v>46051.562071759261</v>
      </c>
      <c r="R867" s="2" t="s">
        <v>54</v>
      </c>
      <c r="S867" s="2" t="s">
        <v>51</v>
      </c>
      <c r="T867" s="2" t="s">
        <v>55</v>
      </c>
      <c r="U867" s="2" t="s">
        <v>56</v>
      </c>
      <c r="V867" s="2" t="s">
        <v>57</v>
      </c>
      <c r="W867" s="2" t="s">
        <v>58</v>
      </c>
      <c r="X867" s="2" t="s">
        <v>59</v>
      </c>
      <c r="Y867" s="1">
        <v>249.99</v>
      </c>
      <c r="Z867" s="1">
        <v>249.99</v>
      </c>
      <c r="AA867" s="1">
        <v>29.99</v>
      </c>
      <c r="AB867" s="1">
        <v>12.5</v>
      </c>
      <c r="AC867" s="1">
        <v>0</v>
      </c>
      <c r="AD867" s="1">
        <v>35.918599999999998</v>
      </c>
      <c r="AE867" s="1">
        <v>292.48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4.3748250000000004</v>
      </c>
      <c r="AP867" s="1">
        <v>0.61247549999999995</v>
      </c>
      <c r="AQ867" s="1">
        <v>219.28946999999999</v>
      </c>
      <c r="AR867" s="1">
        <v>219.28946999999999</v>
      </c>
      <c r="AS867" s="1">
        <v>54.822369999999999</v>
      </c>
      <c r="AT867" s="1">
        <v>7.6751317999999999</v>
      </c>
      <c r="AU867" s="1">
        <v>0</v>
      </c>
      <c r="AV867" s="2" t="s">
        <v>69</v>
      </c>
      <c r="AW867" s="1">
        <v>182.505</v>
      </c>
      <c r="AX867" s="1">
        <f>Table1[[#This Row],[Original Commissionable GMV]]-Table1[[#This Row],[Commission ]]-Table1[[#This Row],[Commission VAT]]-Table1[[#This Row],[FreeDeliveryFund]]</f>
        <v>156.79196819999999</v>
      </c>
      <c r="AY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M867" s="2"/>
    </row>
    <row r="868" spans="12:65" x14ac:dyDescent="0.25">
      <c r="L868" s="2">
        <v>504016</v>
      </c>
      <c r="M868" s="2" t="s">
        <v>52</v>
      </c>
      <c r="N868" s="2">
        <v>505835</v>
      </c>
      <c r="O868" t="s">
        <v>65</v>
      </c>
      <c r="P868">
        <v>3426287979</v>
      </c>
      <c r="Q868" s="5">
        <v>46051.606666666667</v>
      </c>
      <c r="R868" s="2" t="s">
        <v>54</v>
      </c>
      <c r="S868" s="2" t="s">
        <v>51</v>
      </c>
      <c r="T868" s="2" t="s">
        <v>55</v>
      </c>
      <c r="U868" s="2" t="s">
        <v>59</v>
      </c>
      <c r="V868" s="2" t="s">
        <v>57</v>
      </c>
      <c r="W868" s="2" t="s">
        <v>58</v>
      </c>
      <c r="X868" s="2" t="s">
        <v>59</v>
      </c>
      <c r="Y868" s="1">
        <v>328.83</v>
      </c>
      <c r="Z868" s="1">
        <v>328.83</v>
      </c>
      <c r="AA868" s="1">
        <v>33.99</v>
      </c>
      <c r="AB868" s="1">
        <v>16.440000000000001</v>
      </c>
      <c r="AC868" s="1">
        <v>0</v>
      </c>
      <c r="AD868" s="1">
        <v>46.575789999999998</v>
      </c>
      <c r="AE868" s="1">
        <v>379.26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30</v>
      </c>
      <c r="AN868" s="1">
        <v>4.2</v>
      </c>
      <c r="AO868" s="1">
        <v>5.7545250000000001</v>
      </c>
      <c r="AP868" s="1">
        <v>0.8056335</v>
      </c>
      <c r="AQ868" s="1">
        <v>288.44736999999998</v>
      </c>
      <c r="AR868" s="1">
        <v>288.44736999999998</v>
      </c>
      <c r="AS868" s="1">
        <v>72.111840000000001</v>
      </c>
      <c r="AT868" s="1">
        <v>10.095657599999999</v>
      </c>
      <c r="AU868" s="1">
        <v>0</v>
      </c>
      <c r="AV868" s="2" t="s">
        <v>69</v>
      </c>
      <c r="AW868" s="1">
        <v>205.86199999999999</v>
      </c>
      <c r="AX868" s="1">
        <f>Table1[[#This Row],[Original Commissionable GMV]]-Table1[[#This Row],[Commission ]]-Table1[[#This Row],[Commission VAT]]-Table1[[#This Row],[FreeDeliveryFund]]</f>
        <v>206.23987239999997</v>
      </c>
      <c r="AY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M868" s="2"/>
    </row>
    <row r="869" spans="12:65" x14ac:dyDescent="0.25">
      <c r="L869" s="2">
        <v>504016</v>
      </c>
      <c r="M869" s="2" t="s">
        <v>52</v>
      </c>
      <c r="N869" s="2">
        <v>505839</v>
      </c>
      <c r="O869" t="s">
        <v>53</v>
      </c>
      <c r="P869">
        <v>3426288312</v>
      </c>
      <c r="Q869" s="5">
        <v>46051.606793981482</v>
      </c>
      <c r="R869" s="2" t="s">
        <v>54</v>
      </c>
      <c r="S869" s="2" t="s">
        <v>51</v>
      </c>
      <c r="T869" s="2" t="s">
        <v>55</v>
      </c>
      <c r="U869" s="2" t="s">
        <v>59</v>
      </c>
      <c r="V869" s="2" t="s">
        <v>57</v>
      </c>
      <c r="W869" s="2" t="s">
        <v>58</v>
      </c>
      <c r="X869" s="2" t="s">
        <v>59</v>
      </c>
      <c r="Y869" s="1">
        <v>353.99</v>
      </c>
      <c r="Z869" s="1">
        <v>353.99</v>
      </c>
      <c r="AA869" s="1">
        <v>34.99</v>
      </c>
      <c r="AB869" s="1">
        <v>17.7</v>
      </c>
      <c r="AC869" s="1">
        <v>0</v>
      </c>
      <c r="AD869" s="1">
        <v>49.943159999999999</v>
      </c>
      <c r="AE869" s="1">
        <v>406.68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6.1948249999999998</v>
      </c>
      <c r="AP869" s="1">
        <v>0.86727549999999998</v>
      </c>
      <c r="AQ869" s="1">
        <v>310.51754</v>
      </c>
      <c r="AR869" s="1">
        <v>310.51754</v>
      </c>
      <c r="AS869" s="1">
        <v>77.629390000000001</v>
      </c>
      <c r="AT869" s="1">
        <v>10.8681146</v>
      </c>
      <c r="AU869" s="1">
        <v>0</v>
      </c>
      <c r="AV869" s="2" t="s">
        <v>69</v>
      </c>
      <c r="AW869" s="1">
        <v>258.43</v>
      </c>
      <c r="AX869" s="1">
        <f>Table1[[#This Row],[Original Commissionable GMV]]-Table1[[#This Row],[Commission ]]-Table1[[#This Row],[Commission VAT]]-Table1[[#This Row],[FreeDeliveryFund]]</f>
        <v>222.02003539999998</v>
      </c>
      <c r="AY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M869" s="2"/>
    </row>
    <row r="870" spans="12:65" x14ac:dyDescent="0.25">
      <c r="L870" s="2">
        <v>504016</v>
      </c>
      <c r="M870" s="2" t="s">
        <v>52</v>
      </c>
      <c r="N870" s="2">
        <v>505839</v>
      </c>
      <c r="O870" t="s">
        <v>63</v>
      </c>
      <c r="P870">
        <v>3426367295</v>
      </c>
      <c r="Q870" s="5">
        <v>46051.636180555557</v>
      </c>
      <c r="R870" s="2" t="s">
        <v>62</v>
      </c>
      <c r="S870" s="2" t="s">
        <v>51</v>
      </c>
      <c r="T870" s="2" t="s">
        <v>55</v>
      </c>
      <c r="U870" s="2" t="s">
        <v>56</v>
      </c>
      <c r="V870" s="2" t="s">
        <v>57</v>
      </c>
      <c r="W870" s="2" t="s">
        <v>58</v>
      </c>
      <c r="X870" s="2" t="s">
        <v>59</v>
      </c>
      <c r="Y870" s="1">
        <v>239.99</v>
      </c>
      <c r="Z870" s="1">
        <v>239.99</v>
      </c>
      <c r="AA870" s="1">
        <v>33.99</v>
      </c>
      <c r="AB870" s="1">
        <v>12</v>
      </c>
      <c r="AC870" s="1">
        <v>0</v>
      </c>
      <c r="AD870" s="1">
        <v>35.120350000000002</v>
      </c>
      <c r="AE870" s="1">
        <v>285.98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210.51754</v>
      </c>
      <c r="AR870" s="1">
        <v>210.51754</v>
      </c>
      <c r="AS870" s="1">
        <v>52.629390000000001</v>
      </c>
      <c r="AT870" s="1">
        <v>7.3681146000000002</v>
      </c>
      <c r="AU870" s="1">
        <v>0</v>
      </c>
      <c r="AV870" s="2" t="s">
        <v>69</v>
      </c>
      <c r="AW870" s="1">
        <v>179.99199999999999</v>
      </c>
      <c r="AX870" s="1">
        <f>Table1[[#This Row],[Original Commissionable GMV]]-Table1[[#This Row],[Commission ]]-Table1[[#This Row],[Commission VAT]]-Table1[[#This Row],[FreeDeliveryFund]]</f>
        <v>150.52003539999998</v>
      </c>
      <c r="AY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M870" s="2"/>
    </row>
    <row r="871" spans="12:65" x14ac:dyDescent="0.25">
      <c r="L871" s="2">
        <v>504016</v>
      </c>
      <c r="M871" s="2" t="s">
        <v>52</v>
      </c>
      <c r="N871" s="2">
        <v>505839</v>
      </c>
      <c r="O871" t="s">
        <v>63</v>
      </c>
      <c r="P871">
        <v>3426376986</v>
      </c>
      <c r="Q871" s="5">
        <v>46051.63962962963</v>
      </c>
      <c r="R871" s="2" t="s">
        <v>54</v>
      </c>
      <c r="S871" s="2" t="s">
        <v>51</v>
      </c>
      <c r="T871" s="2" t="s">
        <v>55</v>
      </c>
      <c r="U871" s="2" t="s">
        <v>56</v>
      </c>
      <c r="V871" s="2" t="s">
        <v>57</v>
      </c>
      <c r="W871" s="2" t="s">
        <v>58</v>
      </c>
      <c r="X871" s="2" t="s">
        <v>59</v>
      </c>
      <c r="Y871" s="1">
        <v>866.99</v>
      </c>
      <c r="Z871" s="1">
        <v>866.99</v>
      </c>
      <c r="AA871" s="1">
        <v>0</v>
      </c>
      <c r="AB871" s="1">
        <v>29.99</v>
      </c>
      <c r="AC871" s="1">
        <v>0</v>
      </c>
      <c r="AD871" s="1">
        <v>110.15544</v>
      </c>
      <c r="AE871" s="1">
        <v>896.98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15.172325000000001</v>
      </c>
      <c r="AP871" s="1">
        <v>2.1241254999999999</v>
      </c>
      <c r="AQ871" s="1">
        <v>760.51754000000005</v>
      </c>
      <c r="AR871" s="1">
        <v>760.51754000000005</v>
      </c>
      <c r="AS871" s="1">
        <v>190.12939</v>
      </c>
      <c r="AT871" s="1">
        <v>26.618114599999998</v>
      </c>
      <c r="AU871" s="1">
        <v>28.99</v>
      </c>
      <c r="AV871" s="2" t="s">
        <v>60</v>
      </c>
      <c r="AW871" s="1">
        <v>603.95600000000002</v>
      </c>
      <c r="AX871" s="1">
        <f>Table1[[#This Row],[Original Commissionable GMV]]-Table1[[#This Row],[Commission ]]-Table1[[#This Row],[Commission VAT]]-Table1[[#This Row],[FreeDeliveryFund]]</f>
        <v>514.78003539999997</v>
      </c>
      <c r="AY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M871" s="2"/>
    </row>
    <row r="872" spans="12:65" x14ac:dyDescent="0.25">
      <c r="L872" s="2">
        <v>504016</v>
      </c>
      <c r="M872" s="2" t="s">
        <v>52</v>
      </c>
      <c r="N872" s="2">
        <v>505837</v>
      </c>
      <c r="O872" t="s">
        <v>53</v>
      </c>
      <c r="P872">
        <v>3426401356</v>
      </c>
      <c r="Q872" s="5">
        <v>46051.648159722223</v>
      </c>
      <c r="R872" s="2" t="s">
        <v>54</v>
      </c>
      <c r="S872" s="2" t="s">
        <v>51</v>
      </c>
      <c r="T872" s="2" t="s">
        <v>55</v>
      </c>
      <c r="U872" s="2" t="s">
        <v>59</v>
      </c>
      <c r="V872" s="2" t="s">
        <v>57</v>
      </c>
      <c r="W872" s="2" t="s">
        <v>58</v>
      </c>
      <c r="X872" s="2" t="s">
        <v>59</v>
      </c>
      <c r="Y872" s="1">
        <v>1778.64</v>
      </c>
      <c r="Z872" s="1">
        <v>1778.64</v>
      </c>
      <c r="AA872" s="1">
        <v>40.99</v>
      </c>
      <c r="AB872" s="1">
        <v>29.99</v>
      </c>
      <c r="AC872" s="1">
        <v>0</v>
      </c>
      <c r="AD872" s="1">
        <v>227.14632</v>
      </c>
      <c r="AE872" s="1">
        <v>1849.62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30</v>
      </c>
      <c r="AN872" s="1">
        <v>4.2</v>
      </c>
      <c r="AO872" s="1">
        <v>31.126200000000001</v>
      </c>
      <c r="AP872" s="1">
        <v>4.3576680000000003</v>
      </c>
      <c r="AQ872" s="1">
        <v>1560.2105300000001</v>
      </c>
      <c r="AR872" s="1">
        <v>1560.2105300000001</v>
      </c>
      <c r="AS872" s="1">
        <v>390.05263000000002</v>
      </c>
      <c r="AT872" s="1">
        <v>54.607368200000003</v>
      </c>
      <c r="AU872" s="1">
        <v>0</v>
      </c>
      <c r="AV872" s="2" t="s">
        <v>69</v>
      </c>
      <c r="AW872" s="1">
        <v>1264.296</v>
      </c>
      <c r="AX872" s="1">
        <f>Table1[[#This Row],[Original Commissionable GMV]]-Table1[[#This Row],[Commission ]]-Table1[[#This Row],[Commission VAT]]-Table1[[#This Row],[FreeDeliveryFund]]</f>
        <v>1115.5505318</v>
      </c>
      <c r="AY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M872" s="2"/>
    </row>
    <row r="873" spans="12:65" x14ac:dyDescent="0.25">
      <c r="L873" s="2">
        <v>504016</v>
      </c>
      <c r="M873" s="2" t="s">
        <v>52</v>
      </c>
      <c r="N873" s="2">
        <v>505837</v>
      </c>
      <c r="O873" t="s">
        <v>53</v>
      </c>
      <c r="P873">
        <v>3426426414</v>
      </c>
      <c r="Q873" s="5">
        <v>46051.656817129631</v>
      </c>
      <c r="R873" s="2" t="s">
        <v>62</v>
      </c>
      <c r="S873" s="2" t="s">
        <v>51</v>
      </c>
      <c r="T873" s="2" t="s">
        <v>55</v>
      </c>
      <c r="U873" s="2" t="s">
        <v>59</v>
      </c>
      <c r="V873" s="2" t="s">
        <v>57</v>
      </c>
      <c r="W873" s="2" t="s">
        <v>58</v>
      </c>
      <c r="X873" s="2" t="s">
        <v>59</v>
      </c>
      <c r="Y873" s="1">
        <v>767.99</v>
      </c>
      <c r="Z873" s="1">
        <v>767.99</v>
      </c>
      <c r="AA873" s="1">
        <v>31.99</v>
      </c>
      <c r="AB873" s="1">
        <v>29.99</v>
      </c>
      <c r="AC873" s="1">
        <v>0</v>
      </c>
      <c r="AD873" s="1">
        <v>101.92614</v>
      </c>
      <c r="AE873" s="1">
        <v>829.97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673.67543999999998</v>
      </c>
      <c r="AR873" s="1">
        <v>673.67543999999998</v>
      </c>
      <c r="AS873" s="1">
        <v>168.41886</v>
      </c>
      <c r="AT873" s="1">
        <v>23.578640400000001</v>
      </c>
      <c r="AU873" s="1">
        <v>0</v>
      </c>
      <c r="AV873" s="2" t="s">
        <v>69</v>
      </c>
      <c r="AW873" s="1">
        <v>575.99199999999996</v>
      </c>
      <c r="AX873" s="1">
        <f>Table1[[#This Row],[Original Commissionable GMV]]-Table1[[#This Row],[Commission ]]-Table1[[#This Row],[Commission VAT]]-Table1[[#This Row],[FreeDeliveryFund]]</f>
        <v>481.6779396</v>
      </c>
      <c r="AY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M873" s="2"/>
    </row>
    <row r="874" spans="12:65" x14ac:dyDescent="0.25">
      <c r="L874" s="2">
        <v>504016</v>
      </c>
      <c r="M874" s="2" t="s">
        <v>52</v>
      </c>
      <c r="N874" s="2">
        <v>505837</v>
      </c>
      <c r="O874" t="s">
        <v>53</v>
      </c>
      <c r="P874">
        <v>3426435122</v>
      </c>
      <c r="Q874" s="5">
        <v>46051.659826388888</v>
      </c>
      <c r="R874" s="2" t="s">
        <v>54</v>
      </c>
      <c r="S874" s="2" t="s">
        <v>51</v>
      </c>
      <c r="T874" s="2" t="s">
        <v>55</v>
      </c>
      <c r="U874" s="2" t="s">
        <v>59</v>
      </c>
      <c r="V874" s="2" t="s">
        <v>57</v>
      </c>
      <c r="W874" s="2" t="s">
        <v>58</v>
      </c>
      <c r="X874" s="2" t="s">
        <v>59</v>
      </c>
      <c r="Y874" s="1">
        <v>807.98</v>
      </c>
      <c r="Z874" s="1">
        <v>807.98</v>
      </c>
      <c r="AA874" s="1">
        <v>0</v>
      </c>
      <c r="AB874" s="1">
        <v>29.99</v>
      </c>
      <c r="AC874" s="1">
        <v>0</v>
      </c>
      <c r="AD874" s="1">
        <v>102.90860000000001</v>
      </c>
      <c r="AE874" s="1">
        <v>837.97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14.13965</v>
      </c>
      <c r="AP874" s="1">
        <v>1.9795510000000001</v>
      </c>
      <c r="AQ874" s="1">
        <v>708.75438999999994</v>
      </c>
      <c r="AR874" s="1">
        <v>708.75438999999994</v>
      </c>
      <c r="AS874" s="1">
        <v>177.18860000000001</v>
      </c>
      <c r="AT874" s="1">
        <v>24.806404000000001</v>
      </c>
      <c r="AU874" s="1">
        <v>32.99</v>
      </c>
      <c r="AV874" s="2" t="s">
        <v>60</v>
      </c>
      <c r="AW874" s="1">
        <v>556.87599999999998</v>
      </c>
      <c r="AX874" s="1">
        <f>Table1[[#This Row],[Original Commissionable GMV]]-Table1[[#This Row],[Commission ]]-Table1[[#This Row],[Commission VAT]]-Table1[[#This Row],[FreeDeliveryFund]]</f>
        <v>473.76938599999988</v>
      </c>
      <c r="AY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M874" s="2"/>
    </row>
    <row r="875" spans="12:65" x14ac:dyDescent="0.25">
      <c r="L875" s="2">
        <v>504016</v>
      </c>
      <c r="M875" s="2" t="s">
        <v>52</v>
      </c>
      <c r="N875" s="2">
        <v>505837</v>
      </c>
      <c r="O875" t="s">
        <v>53</v>
      </c>
      <c r="P875">
        <v>3426453190</v>
      </c>
      <c r="Q875" s="5">
        <v>46051.665949074071</v>
      </c>
      <c r="R875" s="2" t="s">
        <v>54</v>
      </c>
      <c r="S875" s="2" t="s">
        <v>51</v>
      </c>
      <c r="T875" s="2" t="s">
        <v>55</v>
      </c>
      <c r="U875" s="2" t="s">
        <v>59</v>
      </c>
      <c r="V875" s="2" t="s">
        <v>57</v>
      </c>
      <c r="W875" s="2" t="s">
        <v>58</v>
      </c>
      <c r="X875" s="2" t="s">
        <v>59</v>
      </c>
      <c r="Y875" s="1">
        <v>453.99</v>
      </c>
      <c r="Z875" s="1">
        <v>453.99</v>
      </c>
      <c r="AA875" s="1">
        <v>9</v>
      </c>
      <c r="AB875" s="1">
        <v>22.7</v>
      </c>
      <c r="AC875" s="1">
        <v>0</v>
      </c>
      <c r="AD875" s="1">
        <v>59.646140000000003</v>
      </c>
      <c r="AE875" s="1">
        <v>485.69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7.9448249999999998</v>
      </c>
      <c r="AP875" s="1">
        <v>1.1122755</v>
      </c>
      <c r="AQ875" s="1">
        <v>398.23683999999997</v>
      </c>
      <c r="AR875" s="1">
        <v>398.23683999999997</v>
      </c>
      <c r="AS875" s="1">
        <v>99.559209999999993</v>
      </c>
      <c r="AT875" s="1">
        <v>13.9382894</v>
      </c>
      <c r="AU875" s="1">
        <v>31.99</v>
      </c>
      <c r="AV875" s="2" t="s">
        <v>60</v>
      </c>
      <c r="AW875" s="1">
        <v>299.44499999999999</v>
      </c>
      <c r="AX875" s="1">
        <f>Table1[[#This Row],[Original Commissionable GMV]]-Table1[[#This Row],[Commission ]]-Table1[[#This Row],[Commission VAT]]-Table1[[#This Row],[FreeDeliveryFund]]</f>
        <v>252.74934059999998</v>
      </c>
      <c r="AY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M875" s="2"/>
    </row>
    <row r="876" spans="12:65" x14ac:dyDescent="0.25">
      <c r="L876" s="2">
        <v>504016</v>
      </c>
      <c r="M876" s="2" t="s">
        <v>52</v>
      </c>
      <c r="N876" s="2">
        <v>505839</v>
      </c>
      <c r="O876" t="s">
        <v>63</v>
      </c>
      <c r="P876">
        <v>3426462290</v>
      </c>
      <c r="Q876" s="5">
        <v>46051.669074074074</v>
      </c>
      <c r="R876" s="2" t="s">
        <v>54</v>
      </c>
      <c r="S876" s="2" t="s">
        <v>51</v>
      </c>
      <c r="T876" s="2" t="s">
        <v>55</v>
      </c>
      <c r="U876" s="2" t="s">
        <v>59</v>
      </c>
      <c r="V876" s="2" t="s">
        <v>57</v>
      </c>
      <c r="W876" s="2" t="s">
        <v>58</v>
      </c>
      <c r="X876" s="2" t="s">
        <v>59</v>
      </c>
      <c r="Y876" s="1">
        <v>329</v>
      </c>
      <c r="Z876" s="1">
        <v>329</v>
      </c>
      <c r="AA876" s="1">
        <v>0</v>
      </c>
      <c r="AB876" s="1">
        <v>16.45</v>
      </c>
      <c r="AC876" s="1">
        <v>0</v>
      </c>
      <c r="AD876" s="1">
        <v>42.423679999999997</v>
      </c>
      <c r="AE876" s="1">
        <v>345.45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5.7575000000000003</v>
      </c>
      <c r="AP876" s="1">
        <v>0.80605000000000004</v>
      </c>
      <c r="AQ876" s="1">
        <v>288.59649000000002</v>
      </c>
      <c r="AR876" s="1">
        <v>288.59649000000002</v>
      </c>
      <c r="AS876" s="1">
        <v>72.149119999999996</v>
      </c>
      <c r="AT876" s="1">
        <v>10.1008768</v>
      </c>
      <c r="AU876" s="1">
        <v>28.99</v>
      </c>
      <c r="AV876" s="2" t="s">
        <v>60</v>
      </c>
      <c r="AW876" s="1">
        <v>211.196</v>
      </c>
      <c r="AX876" s="1">
        <f>Table1[[#This Row],[Original Commissionable GMV]]-Table1[[#This Row],[Commission ]]-Table1[[#This Row],[Commission VAT]]-Table1[[#This Row],[FreeDeliveryFund]]</f>
        <v>177.35649320000002</v>
      </c>
      <c r="AY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M876" s="2"/>
    </row>
    <row r="877" spans="12:65" x14ac:dyDescent="0.25">
      <c r="L877" s="2">
        <v>504016</v>
      </c>
      <c r="M877" s="2" t="s">
        <v>52</v>
      </c>
      <c r="N877" s="2">
        <v>505839</v>
      </c>
      <c r="O877" t="s">
        <v>53</v>
      </c>
      <c r="P877">
        <v>3426542618</v>
      </c>
      <c r="Q877" s="5">
        <v>46051.694988425923</v>
      </c>
      <c r="R877" s="2" t="s">
        <v>62</v>
      </c>
      <c r="S877" s="2" t="s">
        <v>51</v>
      </c>
      <c r="T877" s="2" t="s">
        <v>55</v>
      </c>
      <c r="U877" s="2" t="s">
        <v>59</v>
      </c>
      <c r="V877" s="2" t="s">
        <v>57</v>
      </c>
      <c r="W877" s="2" t="s">
        <v>58</v>
      </c>
      <c r="X877" s="2" t="s">
        <v>59</v>
      </c>
      <c r="Y877" s="1">
        <v>767.99</v>
      </c>
      <c r="Z877" s="1">
        <v>767.99</v>
      </c>
      <c r="AA877" s="1">
        <v>31.99</v>
      </c>
      <c r="AB877" s="1">
        <v>29.99</v>
      </c>
      <c r="AC877" s="1">
        <v>0</v>
      </c>
      <c r="AD877" s="1">
        <v>101.92614</v>
      </c>
      <c r="AE877" s="1">
        <v>829.97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673.67543999999998</v>
      </c>
      <c r="AR877" s="1">
        <v>673.67543999999998</v>
      </c>
      <c r="AS877" s="1">
        <v>168.41886</v>
      </c>
      <c r="AT877" s="1">
        <v>23.578640400000001</v>
      </c>
      <c r="AU877" s="1">
        <v>0</v>
      </c>
      <c r="AV877" s="2" t="s">
        <v>69</v>
      </c>
      <c r="AW877" s="1">
        <v>575.99199999999996</v>
      </c>
      <c r="AX877" s="1">
        <f>Table1[[#This Row],[Original Commissionable GMV]]-Table1[[#This Row],[Commission ]]-Table1[[#This Row],[Commission VAT]]-Table1[[#This Row],[FreeDeliveryFund]]</f>
        <v>481.6779396</v>
      </c>
      <c r="AY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M877" s="2"/>
    </row>
    <row r="878" spans="12:65" x14ac:dyDescent="0.25">
      <c r="L878" s="2">
        <v>504016</v>
      </c>
      <c r="M878" s="2" t="s">
        <v>52</v>
      </c>
      <c r="N878" s="2">
        <v>505839</v>
      </c>
      <c r="O878" t="s">
        <v>65</v>
      </c>
      <c r="P878">
        <v>3426546129</v>
      </c>
      <c r="Q878" s="5">
        <v>46051.69604166667</v>
      </c>
      <c r="R878" s="2" t="s">
        <v>54</v>
      </c>
      <c r="S878" s="2" t="s">
        <v>51</v>
      </c>
      <c r="T878" s="2" t="s">
        <v>55</v>
      </c>
      <c r="U878" s="2" t="s">
        <v>56</v>
      </c>
      <c r="V878" s="2" t="s">
        <v>57</v>
      </c>
      <c r="W878" s="2" t="s">
        <v>58</v>
      </c>
      <c r="X878" s="2" t="s">
        <v>59</v>
      </c>
      <c r="Y878" s="1">
        <v>1439.29</v>
      </c>
      <c r="Z878" s="1">
        <v>1439.29</v>
      </c>
      <c r="AA878" s="1">
        <v>28.99</v>
      </c>
      <c r="AB878" s="1">
        <v>29.99</v>
      </c>
      <c r="AC878" s="1">
        <v>0</v>
      </c>
      <c r="AD878" s="1">
        <v>183.99807000000001</v>
      </c>
      <c r="AE878" s="1">
        <v>1498.27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25.187574999999999</v>
      </c>
      <c r="AP878" s="1">
        <v>3.5262604999999998</v>
      </c>
      <c r="AQ878" s="1">
        <v>1262.5350900000001</v>
      </c>
      <c r="AR878" s="1">
        <v>1262.5350900000001</v>
      </c>
      <c r="AS878" s="1">
        <v>315.63377000000003</v>
      </c>
      <c r="AT878" s="1">
        <v>44.188727800000002</v>
      </c>
      <c r="AU878" s="1">
        <v>0</v>
      </c>
      <c r="AV878" s="2" t="s">
        <v>69</v>
      </c>
      <c r="AW878" s="1">
        <v>1050.7539999999999</v>
      </c>
      <c r="AX878" s="1">
        <f>Table1[[#This Row],[Original Commissionable GMV]]-Table1[[#This Row],[Commission ]]-Table1[[#This Row],[Commission VAT]]-Table1[[#This Row],[FreeDeliveryFund]]</f>
        <v>902.71259220000002</v>
      </c>
      <c r="AY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M878" s="2"/>
    </row>
    <row r="879" spans="12:65" x14ac:dyDescent="0.25">
      <c r="L879" s="2">
        <v>504016</v>
      </c>
      <c r="M879" s="2" t="s">
        <v>52</v>
      </c>
      <c r="N879" s="2">
        <v>505837</v>
      </c>
      <c r="O879" t="s">
        <v>65</v>
      </c>
      <c r="P879">
        <v>3426580036</v>
      </c>
      <c r="Q879" s="5">
        <v>46051.706134259257</v>
      </c>
      <c r="R879" s="2" t="s">
        <v>54</v>
      </c>
      <c r="S879" s="2" t="s">
        <v>51</v>
      </c>
      <c r="T879" s="2" t="s">
        <v>55</v>
      </c>
      <c r="U879" s="2" t="s">
        <v>56</v>
      </c>
      <c r="V879" s="2" t="s">
        <v>57</v>
      </c>
      <c r="W879" s="2" t="s">
        <v>58</v>
      </c>
      <c r="X879" s="2" t="s">
        <v>59</v>
      </c>
      <c r="Y879" s="1">
        <v>236.43</v>
      </c>
      <c r="Z879" s="1">
        <v>236.43</v>
      </c>
      <c r="AA879" s="1">
        <v>7</v>
      </c>
      <c r="AB879" s="1">
        <v>11.82</v>
      </c>
      <c r="AC879" s="1">
        <v>0</v>
      </c>
      <c r="AD879" s="1">
        <v>31.346489999999999</v>
      </c>
      <c r="AE879" s="1">
        <v>255.25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4.1375250000000001</v>
      </c>
      <c r="AP879" s="1">
        <v>0.57925349999999998</v>
      </c>
      <c r="AQ879" s="1">
        <v>207.39474000000001</v>
      </c>
      <c r="AR879" s="1">
        <v>207.39474000000001</v>
      </c>
      <c r="AS879" s="1">
        <v>51.848689999999998</v>
      </c>
      <c r="AT879" s="1">
        <v>7.2588166000000003</v>
      </c>
      <c r="AU879" s="1">
        <v>26.99</v>
      </c>
      <c r="AV879" s="2" t="s">
        <v>60</v>
      </c>
      <c r="AW879" s="1">
        <v>145.61600000000001</v>
      </c>
      <c r="AX879" s="1">
        <f>Table1[[#This Row],[Original Commissionable GMV]]-Table1[[#This Row],[Commission ]]-Table1[[#This Row],[Commission VAT]]-Table1[[#This Row],[FreeDeliveryFund]]</f>
        <v>121.29723340000002</v>
      </c>
      <c r="AY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M879" s="2"/>
    </row>
    <row r="880" spans="12:65" x14ac:dyDescent="0.25">
      <c r="L880" s="2">
        <v>504016</v>
      </c>
      <c r="M880" s="2" t="s">
        <v>52</v>
      </c>
      <c r="N880" s="2">
        <v>505837</v>
      </c>
      <c r="O880" t="s">
        <v>63</v>
      </c>
      <c r="P880">
        <v>3426636201</v>
      </c>
      <c r="Q880" s="5">
        <v>46051.722581018519</v>
      </c>
      <c r="R880" s="2" t="s">
        <v>54</v>
      </c>
      <c r="S880" s="2" t="s">
        <v>51</v>
      </c>
      <c r="T880" s="2" t="s">
        <v>55</v>
      </c>
      <c r="U880" s="2" t="s">
        <v>56</v>
      </c>
      <c r="V880" s="2" t="s">
        <v>57</v>
      </c>
      <c r="W880" s="2" t="s">
        <v>58</v>
      </c>
      <c r="X880" s="2" t="s">
        <v>59</v>
      </c>
      <c r="Y880" s="1">
        <v>463.67</v>
      </c>
      <c r="Z880" s="1">
        <v>463.67</v>
      </c>
      <c r="AA880" s="1">
        <v>0</v>
      </c>
      <c r="AB880" s="1">
        <v>23.18</v>
      </c>
      <c r="AC880" s="1">
        <v>0</v>
      </c>
      <c r="AD880" s="1">
        <v>59.788600000000002</v>
      </c>
      <c r="AE880" s="1">
        <v>486.85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8.1142249999999994</v>
      </c>
      <c r="AP880" s="1">
        <v>1.1359915</v>
      </c>
      <c r="AQ880" s="1">
        <v>406.72807</v>
      </c>
      <c r="AR880" s="1">
        <v>406.72807</v>
      </c>
      <c r="AS880" s="1">
        <v>101.68201999999999</v>
      </c>
      <c r="AT880" s="1">
        <v>14.2354828</v>
      </c>
      <c r="AU880" s="1">
        <v>29.99</v>
      </c>
      <c r="AV880" s="2" t="s">
        <v>60</v>
      </c>
      <c r="AW880" s="1">
        <v>308.512</v>
      </c>
      <c r="AX880" s="1">
        <f>Table1[[#This Row],[Original Commissionable GMV]]-Table1[[#This Row],[Commission ]]-Table1[[#This Row],[Commission VAT]]-Table1[[#This Row],[FreeDeliveryFund]]</f>
        <v>260.82056720000003</v>
      </c>
      <c r="AY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M880" s="2"/>
    </row>
    <row r="881" spans="12:65" x14ac:dyDescent="0.25">
      <c r="L881" s="2">
        <v>504016</v>
      </c>
      <c r="M881" s="2" t="s">
        <v>52</v>
      </c>
      <c r="N881" s="2">
        <v>505839</v>
      </c>
      <c r="O881" t="s">
        <v>53</v>
      </c>
      <c r="P881">
        <v>3426788342</v>
      </c>
      <c r="Q881" s="5">
        <v>46051.765335648146</v>
      </c>
      <c r="R881" s="2" t="s">
        <v>54</v>
      </c>
      <c r="S881" s="2" t="s">
        <v>51</v>
      </c>
      <c r="T881" s="2" t="s">
        <v>55</v>
      </c>
      <c r="U881" s="2" t="s">
        <v>56</v>
      </c>
      <c r="V881" s="2" t="s">
        <v>57</v>
      </c>
      <c r="W881" s="2" t="s">
        <v>58</v>
      </c>
      <c r="X881" s="2" t="s">
        <v>59</v>
      </c>
      <c r="Y881" s="1">
        <v>355.99</v>
      </c>
      <c r="Z881" s="1">
        <v>355.99</v>
      </c>
      <c r="AA881" s="1">
        <v>40.99</v>
      </c>
      <c r="AB881" s="1">
        <v>17.8</v>
      </c>
      <c r="AC881" s="1">
        <v>0</v>
      </c>
      <c r="AD881" s="1">
        <v>50.937890000000003</v>
      </c>
      <c r="AE881" s="1">
        <v>414.78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6.2298249999999999</v>
      </c>
      <c r="AP881" s="1">
        <v>0.87217549999999999</v>
      </c>
      <c r="AQ881" s="1">
        <v>312.27193</v>
      </c>
      <c r="AR881" s="1">
        <v>312.27193</v>
      </c>
      <c r="AS881" s="1">
        <v>78.067980000000006</v>
      </c>
      <c r="AT881" s="1">
        <v>10.929517199999999</v>
      </c>
      <c r="AU881" s="1">
        <v>0</v>
      </c>
      <c r="AV881" s="2" t="s">
        <v>69</v>
      </c>
      <c r="AW881" s="1">
        <v>259.89100000000002</v>
      </c>
      <c r="AX881" s="1">
        <f>Table1[[#This Row],[Original Commissionable GMV]]-Table1[[#This Row],[Commission ]]-Table1[[#This Row],[Commission VAT]]-Table1[[#This Row],[FreeDeliveryFund]]</f>
        <v>223.2744328</v>
      </c>
      <c r="AY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M881" s="2"/>
    </row>
    <row r="882" spans="12:65" x14ac:dyDescent="0.25">
      <c r="L882" s="2">
        <v>504016</v>
      </c>
      <c r="M882" s="2" t="s">
        <v>52</v>
      </c>
      <c r="N882" s="2">
        <v>505839</v>
      </c>
      <c r="O882" t="s">
        <v>53</v>
      </c>
      <c r="P882">
        <v>3426791674</v>
      </c>
      <c r="Q882" s="5">
        <v>46051.766250000001</v>
      </c>
      <c r="R882" s="2" t="s">
        <v>62</v>
      </c>
      <c r="S882" s="2" t="s">
        <v>51</v>
      </c>
      <c r="T882" s="2" t="s">
        <v>55</v>
      </c>
      <c r="U882" s="2" t="s">
        <v>56</v>
      </c>
      <c r="V882" s="2" t="s">
        <v>57</v>
      </c>
      <c r="W882" s="2" t="s">
        <v>58</v>
      </c>
      <c r="X882" s="2" t="s">
        <v>59</v>
      </c>
      <c r="Y882" s="1">
        <v>1025.92</v>
      </c>
      <c r="Z882" s="1">
        <v>1025.92</v>
      </c>
      <c r="AA882" s="1">
        <v>31.99</v>
      </c>
      <c r="AB882" s="1">
        <v>29.99</v>
      </c>
      <c r="AC882" s="1">
        <v>0</v>
      </c>
      <c r="AD882" s="1">
        <v>133.60175000000001</v>
      </c>
      <c r="AE882" s="1">
        <v>1087.9000000000001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899.92981999999995</v>
      </c>
      <c r="AR882" s="1">
        <v>899.92981999999995</v>
      </c>
      <c r="AS882" s="1">
        <v>224.98246</v>
      </c>
      <c r="AT882" s="1">
        <v>31.497544399999999</v>
      </c>
      <c r="AU882" s="1">
        <v>0</v>
      </c>
      <c r="AV882" s="2" t="s">
        <v>69</v>
      </c>
      <c r="AW882" s="1">
        <v>769.44</v>
      </c>
      <c r="AX882" s="1">
        <f>Table1[[#This Row],[Original Commissionable GMV]]-Table1[[#This Row],[Commission ]]-Table1[[#This Row],[Commission VAT]]-Table1[[#This Row],[FreeDeliveryFund]]</f>
        <v>643.44981559999985</v>
      </c>
      <c r="AY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M882" s="2"/>
    </row>
    <row r="883" spans="12:65" x14ac:dyDescent="0.25">
      <c r="L883" s="2">
        <v>504016</v>
      </c>
      <c r="M883" s="2" t="s">
        <v>52</v>
      </c>
      <c r="N883" s="2">
        <v>505835</v>
      </c>
      <c r="O883" t="s">
        <v>53</v>
      </c>
      <c r="P883">
        <v>3426859833</v>
      </c>
      <c r="Q883" s="5">
        <v>46051.784942129627</v>
      </c>
      <c r="R883" s="2" t="s">
        <v>54</v>
      </c>
      <c r="S883" s="2" t="s">
        <v>51</v>
      </c>
      <c r="T883" s="2" t="s">
        <v>55</v>
      </c>
      <c r="U883" s="2" t="s">
        <v>59</v>
      </c>
      <c r="V883" s="2" t="s">
        <v>57</v>
      </c>
      <c r="W883" s="2" t="s">
        <v>58</v>
      </c>
      <c r="X883" s="2" t="s">
        <v>59</v>
      </c>
      <c r="Y883" s="1">
        <v>389.99</v>
      </c>
      <c r="Z883" s="1">
        <v>389.99</v>
      </c>
      <c r="AA883" s="1">
        <v>9</v>
      </c>
      <c r="AB883" s="1">
        <v>19.5</v>
      </c>
      <c r="AC883" s="1">
        <v>0</v>
      </c>
      <c r="AD883" s="1">
        <v>51.393509999999999</v>
      </c>
      <c r="AE883" s="1">
        <v>418.49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6.8248249999999997</v>
      </c>
      <c r="AP883" s="1">
        <v>0.95547550000000003</v>
      </c>
      <c r="AQ883" s="1">
        <v>342.09649000000002</v>
      </c>
      <c r="AR883" s="1">
        <v>342.09649000000002</v>
      </c>
      <c r="AS883" s="1">
        <v>85.524119999999996</v>
      </c>
      <c r="AT883" s="1">
        <v>11.9733768</v>
      </c>
      <c r="AU883" s="1">
        <v>32.99</v>
      </c>
      <c r="AV883" s="2" t="s">
        <v>60</v>
      </c>
      <c r="AW883" s="1">
        <v>251.72200000000001</v>
      </c>
      <c r="AX883" s="1">
        <f>Table1[[#This Row],[Original Commissionable GMV]]-Table1[[#This Row],[Commission ]]-Table1[[#This Row],[Commission VAT]]-Table1[[#This Row],[FreeDeliveryFund]]</f>
        <v>211.60899320000001</v>
      </c>
      <c r="AY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M883" s="2"/>
    </row>
    <row r="884" spans="12:65" x14ac:dyDescent="0.25">
      <c r="L884" s="2">
        <v>504016</v>
      </c>
      <c r="M884" s="2" t="s">
        <v>52</v>
      </c>
      <c r="N884" s="2">
        <v>505839</v>
      </c>
      <c r="O884" t="s">
        <v>63</v>
      </c>
      <c r="P884">
        <v>3426871760</v>
      </c>
      <c r="Q884" s="5">
        <v>46051.788310185184</v>
      </c>
      <c r="R884" s="2" t="s">
        <v>54</v>
      </c>
      <c r="S884" s="2" t="s">
        <v>51</v>
      </c>
      <c r="T884" s="2" t="s">
        <v>55</v>
      </c>
      <c r="U884" s="2" t="s">
        <v>56</v>
      </c>
      <c r="V884" s="2" t="s">
        <v>57</v>
      </c>
      <c r="W884" s="2" t="s">
        <v>58</v>
      </c>
      <c r="X884" s="2" t="s">
        <v>59</v>
      </c>
      <c r="Y884" s="1">
        <v>319.99</v>
      </c>
      <c r="Z884" s="1">
        <v>319.99</v>
      </c>
      <c r="AA884" s="1">
        <v>33.99</v>
      </c>
      <c r="AB884" s="1">
        <v>16</v>
      </c>
      <c r="AC884" s="1">
        <v>0</v>
      </c>
      <c r="AD884" s="1">
        <v>45.436140000000002</v>
      </c>
      <c r="AE884" s="1">
        <v>369.98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5.5998250000000001</v>
      </c>
      <c r="AP884" s="1">
        <v>0.78397550000000005</v>
      </c>
      <c r="AQ884" s="1">
        <v>280.69297999999998</v>
      </c>
      <c r="AR884" s="1">
        <v>280.69297999999998</v>
      </c>
      <c r="AS884" s="1">
        <v>70.173249999999996</v>
      </c>
      <c r="AT884" s="1">
        <v>9.8242550000000008</v>
      </c>
      <c r="AU884" s="1">
        <v>0</v>
      </c>
      <c r="AV884" s="2" t="s">
        <v>69</v>
      </c>
      <c r="AW884" s="1">
        <v>233.60900000000001</v>
      </c>
      <c r="AX884" s="1">
        <f>Table1[[#This Row],[Original Commissionable GMV]]-Table1[[#This Row],[Commission ]]-Table1[[#This Row],[Commission VAT]]-Table1[[#This Row],[FreeDeliveryFund]]</f>
        <v>200.69547499999999</v>
      </c>
      <c r="AY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M884" s="2"/>
    </row>
    <row r="885" spans="12:65" x14ac:dyDescent="0.25">
      <c r="L885" s="2">
        <v>504016</v>
      </c>
      <c r="M885" s="2" t="s">
        <v>52</v>
      </c>
      <c r="N885" s="2">
        <v>505837</v>
      </c>
      <c r="O885" t="s">
        <v>65</v>
      </c>
      <c r="P885">
        <v>3426887007</v>
      </c>
      <c r="Q885" s="5">
        <v>46051.792500000003</v>
      </c>
      <c r="R885" s="2" t="s">
        <v>62</v>
      </c>
      <c r="S885" s="2" t="s">
        <v>51</v>
      </c>
      <c r="T885" s="2" t="s">
        <v>55</v>
      </c>
      <c r="U885" s="2" t="s">
        <v>59</v>
      </c>
      <c r="V885" s="2" t="s">
        <v>57</v>
      </c>
      <c r="W885" s="2" t="s">
        <v>58</v>
      </c>
      <c r="X885" s="2" t="s">
        <v>59</v>
      </c>
      <c r="Y885" s="1">
        <v>417.99</v>
      </c>
      <c r="Z885" s="1">
        <v>417.99</v>
      </c>
      <c r="AA885" s="1">
        <v>28.99</v>
      </c>
      <c r="AB885" s="1">
        <v>20.9</v>
      </c>
      <c r="AC885" s="1">
        <v>0</v>
      </c>
      <c r="AD885" s="1">
        <v>57.458950000000002</v>
      </c>
      <c r="AE885" s="1">
        <v>467.88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366.65789000000001</v>
      </c>
      <c r="AR885" s="1">
        <v>366.65789000000001</v>
      </c>
      <c r="AS885" s="1">
        <v>91.664469999999994</v>
      </c>
      <c r="AT885" s="1">
        <v>12.8330258</v>
      </c>
      <c r="AU885" s="1">
        <v>0</v>
      </c>
      <c r="AV885" s="2" t="s">
        <v>69</v>
      </c>
      <c r="AW885" s="1">
        <v>313.49299999999999</v>
      </c>
      <c r="AX885" s="1">
        <f>Table1[[#This Row],[Original Commissionable GMV]]-Table1[[#This Row],[Commission ]]-Table1[[#This Row],[Commission VAT]]-Table1[[#This Row],[FreeDeliveryFund]]</f>
        <v>262.16039420000004</v>
      </c>
      <c r="AY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M885" s="2"/>
    </row>
    <row r="886" spans="12:65" x14ac:dyDescent="0.25">
      <c r="L886" s="2">
        <v>504016</v>
      </c>
      <c r="M886" s="2" t="s">
        <v>52</v>
      </c>
      <c r="N886" s="2">
        <v>505837</v>
      </c>
      <c r="O886" t="s">
        <v>65</v>
      </c>
      <c r="P886">
        <v>3426899817</v>
      </c>
      <c r="Q886" s="5">
        <v>46051.795983796299</v>
      </c>
      <c r="R886" s="2" t="s">
        <v>62</v>
      </c>
      <c r="S886" s="2" t="s">
        <v>51</v>
      </c>
      <c r="T886" s="2" t="s">
        <v>55</v>
      </c>
      <c r="U886" s="2" t="s">
        <v>56</v>
      </c>
      <c r="V886" s="2" t="s">
        <v>57</v>
      </c>
      <c r="W886" s="2" t="s">
        <v>58</v>
      </c>
      <c r="X886" s="2" t="s">
        <v>59</v>
      </c>
      <c r="Y886" s="1">
        <v>693.98</v>
      </c>
      <c r="Z886" s="1">
        <v>693.98</v>
      </c>
      <c r="AA886" s="1">
        <v>28.99</v>
      </c>
      <c r="AB886" s="1">
        <v>29.99</v>
      </c>
      <c r="AC886" s="1">
        <v>0</v>
      </c>
      <c r="AD886" s="1">
        <v>92.468770000000006</v>
      </c>
      <c r="AE886" s="1">
        <v>752.96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608.75438999999994</v>
      </c>
      <c r="AR886" s="1">
        <v>608.75438999999994</v>
      </c>
      <c r="AS886" s="1">
        <v>152.18860000000001</v>
      </c>
      <c r="AT886" s="1">
        <v>21.306404000000001</v>
      </c>
      <c r="AU886" s="1">
        <v>0</v>
      </c>
      <c r="AV886" s="2" t="s">
        <v>69</v>
      </c>
      <c r="AW886" s="1">
        <v>520.48500000000001</v>
      </c>
      <c r="AX886" s="1">
        <f>Table1[[#This Row],[Original Commissionable GMV]]-Table1[[#This Row],[Commission ]]-Table1[[#This Row],[Commission VAT]]-Table1[[#This Row],[FreeDeliveryFund]]</f>
        <v>435.25938599999995</v>
      </c>
      <c r="AY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M886" s="2"/>
    </row>
    <row r="887" spans="12:65" x14ac:dyDescent="0.25">
      <c r="L887" s="2">
        <v>504016</v>
      </c>
      <c r="M887" s="2" t="s">
        <v>52</v>
      </c>
      <c r="N887" s="2">
        <v>505837</v>
      </c>
      <c r="O887" t="s">
        <v>63</v>
      </c>
      <c r="P887">
        <v>3426910870</v>
      </c>
      <c r="Q887" s="5">
        <v>46051.79896990741</v>
      </c>
      <c r="R887" s="2" t="s">
        <v>54</v>
      </c>
      <c r="S887" s="2" t="s">
        <v>51</v>
      </c>
      <c r="T887" s="2" t="s">
        <v>77</v>
      </c>
      <c r="U887" s="2" t="s">
        <v>59</v>
      </c>
      <c r="V887" s="2" t="s">
        <v>57</v>
      </c>
      <c r="W887" s="2" t="s">
        <v>58</v>
      </c>
      <c r="X887" s="2" t="s">
        <v>59</v>
      </c>
      <c r="Y887" s="1">
        <v>61.33</v>
      </c>
      <c r="Z887" s="1">
        <v>61.33</v>
      </c>
      <c r="AA887" s="1">
        <v>0</v>
      </c>
      <c r="AB887" s="1">
        <v>0</v>
      </c>
      <c r="AC887" s="1">
        <v>0</v>
      </c>
      <c r="AD887" s="1">
        <v>6.4019300000000001</v>
      </c>
      <c r="AE887" s="1">
        <v>52.13</v>
      </c>
      <c r="AG887" s="1">
        <v>0</v>
      </c>
      <c r="AH887" s="1">
        <v>9.1999999999999993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1.0732837500000001</v>
      </c>
      <c r="AP887" s="1">
        <v>0.15025972500000001</v>
      </c>
      <c r="AQ887" s="1">
        <v>53.798250000000003</v>
      </c>
      <c r="AR887" s="1">
        <v>53.798250000000003</v>
      </c>
      <c r="AS887" s="1">
        <v>13.44956</v>
      </c>
      <c r="AT887" s="1">
        <v>1.8829384</v>
      </c>
      <c r="AU887" s="1">
        <v>0</v>
      </c>
      <c r="AV887" s="2" t="s">
        <v>69</v>
      </c>
      <c r="AW887" s="1">
        <v>44.774000000000001</v>
      </c>
      <c r="AX887" s="1">
        <f>Table1[[#This Row],[Original Commissionable GMV]]-Table1[[#This Row],[Commission ]]-Table1[[#This Row],[Commission VAT]]-Table1[[#This Row],[FreeDeliveryFund]]</f>
        <v>38.465751600000004</v>
      </c>
      <c r="AY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M887" s="2"/>
    </row>
    <row r="888" spans="12:65" x14ac:dyDescent="0.25">
      <c r="L888" s="2">
        <v>504016</v>
      </c>
      <c r="M888" s="2" t="s">
        <v>52</v>
      </c>
      <c r="N888" s="2">
        <v>505837</v>
      </c>
      <c r="O888" t="s">
        <v>63</v>
      </c>
      <c r="P888">
        <v>3426943417</v>
      </c>
      <c r="Q888" s="5">
        <v>46051.807754629626</v>
      </c>
      <c r="R888" s="2" t="s">
        <v>54</v>
      </c>
      <c r="S888" s="2" t="s">
        <v>51</v>
      </c>
      <c r="T888" s="2" t="s">
        <v>55</v>
      </c>
      <c r="U888" s="2" t="s">
        <v>56</v>
      </c>
      <c r="V888" s="2" t="s">
        <v>57</v>
      </c>
      <c r="W888" s="2" t="s">
        <v>58</v>
      </c>
      <c r="X888" s="2" t="s">
        <v>59</v>
      </c>
      <c r="Y888" s="1">
        <v>189.99</v>
      </c>
      <c r="Z888" s="1">
        <v>189.99</v>
      </c>
      <c r="AA888" s="1">
        <v>0</v>
      </c>
      <c r="AB888" s="1">
        <v>9.5</v>
      </c>
      <c r="AC888" s="1">
        <v>0</v>
      </c>
      <c r="AD888" s="1">
        <v>24.49877</v>
      </c>
      <c r="AE888" s="1">
        <v>199.49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36</v>
      </c>
      <c r="AM888" s="1">
        <v>0</v>
      </c>
      <c r="AN888" s="1">
        <v>0</v>
      </c>
      <c r="AO888" s="1">
        <v>3.3248250000000001</v>
      </c>
      <c r="AP888" s="1">
        <v>0.46547549999999999</v>
      </c>
      <c r="AQ888" s="1">
        <v>166.65789000000001</v>
      </c>
      <c r="AR888" s="1">
        <v>166.65789000000001</v>
      </c>
      <c r="AS888" s="1">
        <v>41.664470000000001</v>
      </c>
      <c r="AT888" s="1">
        <v>5.8330257999999997</v>
      </c>
      <c r="AU888" s="1">
        <v>27.99</v>
      </c>
      <c r="AV888" s="2" t="s">
        <v>60</v>
      </c>
      <c r="AW888" s="1">
        <v>110.712</v>
      </c>
      <c r="AX888" s="1">
        <f>Table1[[#This Row],[Original Commissionable GMV]]-Table1[[#This Row],[Commission ]]-Table1[[#This Row],[Commission VAT]]-Table1[[#This Row],[FreeDeliveryFund]]</f>
        <v>91.170394200000018</v>
      </c>
      <c r="AY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M888" s="2"/>
    </row>
    <row r="889" spans="12:65" x14ac:dyDescent="0.25">
      <c r="L889" s="2">
        <v>504016</v>
      </c>
      <c r="M889" s="2" t="s">
        <v>52</v>
      </c>
      <c r="N889" s="2">
        <v>505839</v>
      </c>
      <c r="O889" t="s">
        <v>53</v>
      </c>
      <c r="P889">
        <v>3427091167</v>
      </c>
      <c r="Q889" s="5">
        <v>46051.850474537037</v>
      </c>
      <c r="R889" s="2" t="s">
        <v>54</v>
      </c>
      <c r="S889" s="2" t="s">
        <v>51</v>
      </c>
      <c r="T889" s="2" t="s">
        <v>55</v>
      </c>
      <c r="U889" s="2" t="s">
        <v>59</v>
      </c>
      <c r="V889" s="2" t="s">
        <v>57</v>
      </c>
      <c r="W889" s="2" t="s">
        <v>58</v>
      </c>
      <c r="X889" s="2" t="s">
        <v>59</v>
      </c>
      <c r="Y889" s="1">
        <v>707.96</v>
      </c>
      <c r="Z889" s="1">
        <v>707.96</v>
      </c>
      <c r="AA889" s="1">
        <v>31.99</v>
      </c>
      <c r="AB889" s="1">
        <v>29.99</v>
      </c>
      <c r="AC889" s="1">
        <v>0</v>
      </c>
      <c r="AD889" s="1">
        <v>94.554040000000001</v>
      </c>
      <c r="AE889" s="1">
        <v>769.94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12.3893</v>
      </c>
      <c r="AP889" s="1">
        <v>1.734502</v>
      </c>
      <c r="AQ889" s="1">
        <v>621.01754000000005</v>
      </c>
      <c r="AR889" s="1">
        <v>621.01754000000005</v>
      </c>
      <c r="AS889" s="1">
        <v>155.25439</v>
      </c>
      <c r="AT889" s="1">
        <v>21.735614600000002</v>
      </c>
      <c r="AU889" s="1">
        <v>0</v>
      </c>
      <c r="AV889" s="2" t="s">
        <v>69</v>
      </c>
      <c r="AW889" s="1">
        <v>516.846</v>
      </c>
      <c r="AX889" s="1">
        <f>Table1[[#This Row],[Original Commissionable GMV]]-Table1[[#This Row],[Commission ]]-Table1[[#This Row],[Commission VAT]]-Table1[[#This Row],[FreeDeliveryFund]]</f>
        <v>444.02753540000003</v>
      </c>
      <c r="AY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M889" s="2"/>
    </row>
    <row r="890" spans="12:65" x14ac:dyDescent="0.25">
      <c r="L890" s="2">
        <v>504016</v>
      </c>
      <c r="M890" s="2" t="s">
        <v>52</v>
      </c>
      <c r="N890" s="2">
        <v>505839</v>
      </c>
      <c r="O890" t="s">
        <v>63</v>
      </c>
      <c r="P890">
        <v>3427110137</v>
      </c>
      <c r="Q890" s="5">
        <v>46051.856273148151</v>
      </c>
      <c r="R890" s="2" t="s">
        <v>54</v>
      </c>
      <c r="S890" s="2" t="s">
        <v>51</v>
      </c>
      <c r="T890" s="2" t="s">
        <v>55</v>
      </c>
      <c r="U890" s="2" t="s">
        <v>56</v>
      </c>
      <c r="V890" s="2" t="s">
        <v>57</v>
      </c>
      <c r="W890" s="2" t="s">
        <v>58</v>
      </c>
      <c r="X890" s="2" t="s">
        <v>59</v>
      </c>
      <c r="Y890" s="1">
        <v>1055.98</v>
      </c>
      <c r="Z890" s="1">
        <v>1055.98</v>
      </c>
      <c r="AA890" s="1">
        <v>0</v>
      </c>
      <c r="AB890" s="1">
        <v>29.99</v>
      </c>
      <c r="AC890" s="1">
        <v>0</v>
      </c>
      <c r="AD890" s="1">
        <v>133.36474000000001</v>
      </c>
      <c r="AE890" s="1">
        <v>1085.97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18.479649999999999</v>
      </c>
      <c r="AP890" s="1">
        <v>2.587151</v>
      </c>
      <c r="AQ890" s="1">
        <v>926.29825000000005</v>
      </c>
      <c r="AR890" s="1">
        <v>926.29825000000005</v>
      </c>
      <c r="AS890" s="1">
        <v>231.57455999999999</v>
      </c>
      <c r="AT890" s="1">
        <v>32.420438400000002</v>
      </c>
      <c r="AU890" s="1">
        <v>27.99</v>
      </c>
      <c r="AV890" s="2" t="s">
        <v>60</v>
      </c>
      <c r="AW890" s="1">
        <v>742.928</v>
      </c>
      <c r="AX890" s="1">
        <f>Table1[[#This Row],[Original Commissionable GMV]]-Table1[[#This Row],[Commission ]]-Table1[[#This Row],[Commission VAT]]-Table1[[#This Row],[FreeDeliveryFund]]</f>
        <v>634.31325160000006</v>
      </c>
      <c r="AY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M890" s="2"/>
    </row>
    <row r="891" spans="12:65" x14ac:dyDescent="0.25">
      <c r="L891" s="2">
        <v>504016</v>
      </c>
      <c r="M891" s="2" t="s">
        <v>52</v>
      </c>
      <c r="N891" s="2">
        <v>505837</v>
      </c>
      <c r="O891" t="s">
        <v>65</v>
      </c>
      <c r="P891">
        <v>3427113288</v>
      </c>
      <c r="Q891" s="5">
        <v>46051.857256944444</v>
      </c>
      <c r="R891" s="2" t="s">
        <v>54</v>
      </c>
      <c r="S891" s="2" t="s">
        <v>51</v>
      </c>
      <c r="T891" s="2" t="s">
        <v>55</v>
      </c>
      <c r="U891" s="2" t="s">
        <v>56</v>
      </c>
      <c r="V891" s="2" t="s">
        <v>57</v>
      </c>
      <c r="W891" s="2" t="s">
        <v>58</v>
      </c>
      <c r="X891" s="2" t="s">
        <v>59</v>
      </c>
      <c r="Y891" s="1">
        <v>356.19</v>
      </c>
      <c r="Z891" s="1">
        <v>356.19</v>
      </c>
      <c r="AA891" s="1">
        <v>0</v>
      </c>
      <c r="AB891" s="1">
        <v>17.809999999999999</v>
      </c>
      <c r="AC891" s="1">
        <v>0</v>
      </c>
      <c r="AD891" s="1">
        <v>45.929819999999999</v>
      </c>
      <c r="AE891" s="1">
        <v>374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6.2333249999999998</v>
      </c>
      <c r="AP891" s="1">
        <v>0.87266549999999998</v>
      </c>
      <c r="AQ891" s="1">
        <v>312.44736999999998</v>
      </c>
      <c r="AR891" s="1">
        <v>312.44736999999998</v>
      </c>
      <c r="AS891" s="1">
        <v>78.111840000000001</v>
      </c>
      <c r="AT891" s="1">
        <v>10.935657600000001</v>
      </c>
      <c r="AU891" s="1">
        <v>27.99</v>
      </c>
      <c r="AV891" s="2" t="s">
        <v>60</v>
      </c>
      <c r="AW891" s="1">
        <v>232.047</v>
      </c>
      <c r="AX891" s="1">
        <f>Table1[[#This Row],[Original Commissionable GMV]]-Table1[[#This Row],[Commission ]]-Table1[[#This Row],[Commission VAT]]-Table1[[#This Row],[FreeDeliveryFund]]</f>
        <v>195.40987239999995</v>
      </c>
      <c r="AY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M891" s="2"/>
    </row>
    <row r="892" spans="12:65" x14ac:dyDescent="0.25">
      <c r="L892" s="2">
        <v>504016</v>
      </c>
      <c r="M892" s="2" t="s">
        <v>52</v>
      </c>
      <c r="N892" s="2">
        <v>505837</v>
      </c>
      <c r="O892" t="s">
        <v>63</v>
      </c>
      <c r="P892">
        <v>3427120653</v>
      </c>
      <c r="Q892" s="5">
        <v>46051.859502314815</v>
      </c>
      <c r="R892" s="2" t="s">
        <v>54</v>
      </c>
      <c r="S892" s="2" t="s">
        <v>51</v>
      </c>
      <c r="T892" s="2" t="s">
        <v>55</v>
      </c>
      <c r="U892" s="2" t="s">
        <v>59</v>
      </c>
      <c r="V892" s="2" t="s">
        <v>57</v>
      </c>
      <c r="W892" s="2" t="s">
        <v>58</v>
      </c>
      <c r="X892" s="2" t="s">
        <v>59</v>
      </c>
      <c r="Y892" s="1">
        <v>352</v>
      </c>
      <c r="Z892" s="1">
        <v>352</v>
      </c>
      <c r="AA892" s="1">
        <v>27.99</v>
      </c>
      <c r="AB892" s="1">
        <v>17.600000000000001</v>
      </c>
      <c r="AC892" s="1">
        <v>0</v>
      </c>
      <c r="AD892" s="1">
        <v>48.826839999999997</v>
      </c>
      <c r="AE892" s="1">
        <v>397.59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6.16</v>
      </c>
      <c r="AP892" s="1">
        <v>0.86240000000000006</v>
      </c>
      <c r="AQ892" s="1">
        <v>308.77193</v>
      </c>
      <c r="AR892" s="1">
        <v>308.77193</v>
      </c>
      <c r="AS892" s="1">
        <v>77.192980000000006</v>
      </c>
      <c r="AT892" s="1">
        <v>10.807017200000001</v>
      </c>
      <c r="AU892" s="1">
        <v>0</v>
      </c>
      <c r="AV892" s="2" t="s">
        <v>69</v>
      </c>
      <c r="AW892" s="1">
        <v>256.97800000000001</v>
      </c>
      <c r="AX892" s="1">
        <f>Table1[[#This Row],[Original Commissionable GMV]]-Table1[[#This Row],[Commission ]]-Table1[[#This Row],[Commission VAT]]-Table1[[#This Row],[FreeDeliveryFund]]</f>
        <v>220.7719328</v>
      </c>
      <c r="AY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M892" s="2"/>
    </row>
    <row r="893" spans="12:65" x14ac:dyDescent="0.25">
      <c r="L893" s="2">
        <v>504016</v>
      </c>
      <c r="M893" s="2" t="s">
        <v>52</v>
      </c>
      <c r="N893" s="2">
        <v>505839</v>
      </c>
      <c r="O893" t="s">
        <v>63</v>
      </c>
      <c r="P893">
        <v>3427192075</v>
      </c>
      <c r="Q893" s="5">
        <v>46051.881678240738</v>
      </c>
      <c r="R893" s="2" t="s">
        <v>54</v>
      </c>
      <c r="S893" s="2" t="s">
        <v>51</v>
      </c>
      <c r="T893" s="2" t="s">
        <v>55</v>
      </c>
      <c r="U893" s="2" t="s">
        <v>59</v>
      </c>
      <c r="V893" s="2" t="s">
        <v>57</v>
      </c>
      <c r="W893" s="2" t="s">
        <v>58</v>
      </c>
      <c r="X893" s="2" t="s">
        <v>59</v>
      </c>
      <c r="Y893" s="1">
        <v>673.98</v>
      </c>
      <c r="Z893" s="1">
        <v>673.98</v>
      </c>
      <c r="AA893" s="1">
        <v>0</v>
      </c>
      <c r="AB893" s="1">
        <v>29.99</v>
      </c>
      <c r="AC893" s="1">
        <v>0</v>
      </c>
      <c r="AD893" s="1">
        <v>86.452460000000002</v>
      </c>
      <c r="AE893" s="1">
        <v>703.97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11.794650000000001</v>
      </c>
      <c r="AP893" s="1">
        <v>1.651251</v>
      </c>
      <c r="AQ893" s="1">
        <v>591.21052999999995</v>
      </c>
      <c r="AR893" s="1">
        <v>591.21052999999995</v>
      </c>
      <c r="AS893" s="1">
        <v>147.80262999999999</v>
      </c>
      <c r="AT893" s="1">
        <v>20.692368200000001</v>
      </c>
      <c r="AU893" s="1">
        <v>29.99</v>
      </c>
      <c r="AV893" s="2" t="s">
        <v>60</v>
      </c>
      <c r="AW893" s="1">
        <v>462.04899999999998</v>
      </c>
      <c r="AX893" s="1">
        <f>Table1[[#This Row],[Original Commissionable GMV]]-Table1[[#This Row],[Commission ]]-Table1[[#This Row],[Commission VAT]]-Table1[[#This Row],[FreeDeliveryFund]]</f>
        <v>392.72553179999994</v>
      </c>
      <c r="AY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M893" s="2"/>
    </row>
    <row r="894" spans="12:65" x14ac:dyDescent="0.25">
      <c r="L894" s="2">
        <v>504016</v>
      </c>
      <c r="M894" s="2" t="s">
        <v>52</v>
      </c>
      <c r="N894" s="2">
        <v>505839</v>
      </c>
      <c r="O894" t="s">
        <v>53</v>
      </c>
      <c r="P894">
        <v>3427219193</v>
      </c>
      <c r="Q894" s="2">
        <v>46051.890324074076</v>
      </c>
      <c r="R894" s="5" t="s">
        <v>54</v>
      </c>
      <c r="S894" s="2" t="s">
        <v>51</v>
      </c>
      <c r="T894" s="2" t="s">
        <v>55</v>
      </c>
      <c r="U894" s="2" t="s">
        <v>59</v>
      </c>
      <c r="V894" s="2" t="s">
        <v>57</v>
      </c>
      <c r="Y894" s="2">
        <v>392.98</v>
      </c>
      <c r="Z894" s="1">
        <v>392.98</v>
      </c>
      <c r="AA894" s="1">
        <v>30.99</v>
      </c>
      <c r="AB894" s="1">
        <v>19.649999999999999</v>
      </c>
      <c r="AC894" s="1">
        <v>0</v>
      </c>
      <c r="AD894" s="1">
        <v>54.479649999999999</v>
      </c>
      <c r="AE894" s="1">
        <v>443.62</v>
      </c>
      <c r="AH894" s="1">
        <v>0</v>
      </c>
      <c r="AL894" s="1">
        <v>0</v>
      </c>
      <c r="AM894" s="1">
        <v>0</v>
      </c>
      <c r="AN894" s="1">
        <v>0</v>
      </c>
      <c r="AO894" s="1">
        <v>6.8771500000000003</v>
      </c>
      <c r="AP894" s="1">
        <v>0.96280100000000002</v>
      </c>
      <c r="AQ894" s="1">
        <v>344.71929999999998</v>
      </c>
      <c r="AR894" s="1">
        <v>344.71929999999998</v>
      </c>
      <c r="AS894" s="1">
        <v>86.179829999999995</v>
      </c>
      <c r="AT894" s="2">
        <v>12.0651762</v>
      </c>
      <c r="AU894" s="1">
        <v>0</v>
      </c>
      <c r="AV894" s="1" t="s">
        <v>69</v>
      </c>
      <c r="AW894" s="1">
        <v>286.89499999999998</v>
      </c>
      <c r="AX894" s="1">
        <f>Table1[[#This Row],[Original Commissionable GMV]]-Table1[[#This Row],[Commission ]]-Table1[[#This Row],[Commission VAT]]-Table1[[#This Row],[FreeDeliveryFund]]</f>
        <v>246.4742938</v>
      </c>
      <c r="AY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M894" s="2"/>
    </row>
    <row r="895" spans="12:65" x14ac:dyDescent="0.25">
      <c r="L895" s="2">
        <v>504016</v>
      </c>
      <c r="M895" s="2" t="s">
        <v>52</v>
      </c>
      <c r="N895" s="2">
        <v>505837</v>
      </c>
      <c r="O895" t="s">
        <v>63</v>
      </c>
      <c r="P895">
        <v>3427219331</v>
      </c>
      <c r="Q895" s="2">
        <v>46051.890370370369</v>
      </c>
      <c r="R895" s="5" t="s">
        <v>54</v>
      </c>
      <c r="S895" s="2" t="s">
        <v>51</v>
      </c>
      <c r="T895" s="2" t="s">
        <v>55</v>
      </c>
      <c r="U895" s="2" t="s">
        <v>56</v>
      </c>
      <c r="V895" s="2" t="s">
        <v>57</v>
      </c>
      <c r="Y895" s="2">
        <v>618.25</v>
      </c>
      <c r="Z895" s="1">
        <v>618.25</v>
      </c>
      <c r="AA895" s="1">
        <v>0</v>
      </c>
      <c r="AB895" s="1">
        <v>29.99</v>
      </c>
      <c r="AC895" s="1">
        <v>0</v>
      </c>
      <c r="AD895" s="1">
        <v>79.608419999999995</v>
      </c>
      <c r="AE895" s="1">
        <v>648.24</v>
      </c>
      <c r="AH895" s="1">
        <v>0</v>
      </c>
      <c r="AL895" s="1">
        <v>0</v>
      </c>
      <c r="AM895" s="1">
        <v>0</v>
      </c>
      <c r="AN895" s="1">
        <v>0</v>
      </c>
      <c r="AO895" s="1">
        <v>10.819375000000001</v>
      </c>
      <c r="AP895" s="1">
        <v>1.5147124999999999</v>
      </c>
      <c r="AQ895" s="1">
        <v>542.32456000000002</v>
      </c>
      <c r="AR895" s="1">
        <v>542.32456000000002</v>
      </c>
      <c r="AS895" s="1">
        <v>135.58114</v>
      </c>
      <c r="AT895" s="2">
        <v>18.981359600000001</v>
      </c>
      <c r="AU895" s="1">
        <v>28.99</v>
      </c>
      <c r="AV895" s="1" t="s">
        <v>60</v>
      </c>
      <c r="AW895" s="1">
        <v>422.363</v>
      </c>
      <c r="AX895" s="1">
        <f>Table1[[#This Row],[Original Commissionable GMV]]-Table1[[#This Row],[Commission ]]-Table1[[#This Row],[Commission VAT]]-Table1[[#This Row],[FreeDeliveryFund]]</f>
        <v>358.77206039999999</v>
      </c>
    </row>
    <row r="896" spans="12:65" x14ac:dyDescent="0.25">
      <c r="L896" s="2">
        <v>504016</v>
      </c>
      <c r="M896" s="2" t="s">
        <v>52</v>
      </c>
      <c r="N896" s="2">
        <v>505837</v>
      </c>
      <c r="O896" t="s">
        <v>53</v>
      </c>
      <c r="P896">
        <v>3427220519</v>
      </c>
      <c r="Q896" s="2">
        <v>46051.890752314815</v>
      </c>
      <c r="R896" s="5" t="s">
        <v>54</v>
      </c>
      <c r="S896" s="2" t="s">
        <v>51</v>
      </c>
      <c r="T896" s="2" t="s">
        <v>55</v>
      </c>
      <c r="U896" s="2" t="s">
        <v>59</v>
      </c>
      <c r="V896" s="2" t="s">
        <v>57</v>
      </c>
      <c r="Y896" s="2">
        <v>807.98</v>
      </c>
      <c r="Z896" s="1">
        <v>807.98</v>
      </c>
      <c r="AA896" s="1">
        <v>0</v>
      </c>
      <c r="AB896" s="1">
        <v>29.99</v>
      </c>
      <c r="AC896" s="1">
        <v>0</v>
      </c>
      <c r="AD896" s="1">
        <v>102.90860000000001</v>
      </c>
      <c r="AE896" s="1">
        <v>837.97</v>
      </c>
      <c r="AH896" s="1">
        <v>0</v>
      </c>
      <c r="AL896" s="1">
        <v>0</v>
      </c>
      <c r="AM896" s="1">
        <v>0</v>
      </c>
      <c r="AN896" s="1">
        <v>0</v>
      </c>
      <c r="AO896" s="1">
        <v>14.13965</v>
      </c>
      <c r="AP896" s="1">
        <v>1.9795510000000001</v>
      </c>
      <c r="AQ896" s="1">
        <v>708.75438999999994</v>
      </c>
      <c r="AR896" s="1">
        <v>708.75438999999994</v>
      </c>
      <c r="AS896" s="1">
        <v>177.18860000000001</v>
      </c>
      <c r="AT896" s="2">
        <v>24.806404000000001</v>
      </c>
      <c r="AU896" s="1">
        <v>30.99</v>
      </c>
      <c r="AV896" s="1" t="s">
        <v>60</v>
      </c>
      <c r="AW896" s="1">
        <v>558.87599999999998</v>
      </c>
      <c r="AX896" s="1">
        <f>Table1[[#This Row],[Original Commissionable GMV]]-Table1[[#This Row],[Commission ]]-Table1[[#This Row],[Commission VAT]]-Table1[[#This Row],[FreeDeliveryFund]]</f>
        <v>475.76938599999988</v>
      </c>
    </row>
    <row r="897" spans="12:50" x14ac:dyDescent="0.25">
      <c r="L897" s="2">
        <v>504016</v>
      </c>
      <c r="M897" s="2" t="s">
        <v>52</v>
      </c>
      <c r="N897" s="2">
        <v>505839</v>
      </c>
      <c r="O897" t="s">
        <v>63</v>
      </c>
      <c r="P897">
        <v>3427221614</v>
      </c>
      <c r="Q897" s="2">
        <v>46051.891087962962</v>
      </c>
      <c r="R897" s="5" t="s">
        <v>54</v>
      </c>
      <c r="S897" s="2" t="s">
        <v>51</v>
      </c>
      <c r="T897" s="2" t="s">
        <v>55</v>
      </c>
      <c r="U897" s="2" t="s">
        <v>56</v>
      </c>
      <c r="V897" s="2" t="s">
        <v>57</v>
      </c>
      <c r="Y897" s="2">
        <v>455.97</v>
      </c>
      <c r="Z897" s="1">
        <v>455.97</v>
      </c>
      <c r="AA897" s="1">
        <v>0</v>
      </c>
      <c r="AB897" s="1">
        <v>22.8</v>
      </c>
      <c r="AC897" s="1">
        <v>0</v>
      </c>
      <c r="AD897" s="1">
        <v>58.796320000000001</v>
      </c>
      <c r="AE897" s="1">
        <v>478.77</v>
      </c>
      <c r="AH897" s="1">
        <v>0</v>
      </c>
      <c r="AL897" s="1">
        <v>0</v>
      </c>
      <c r="AM897" s="1">
        <v>0</v>
      </c>
      <c r="AN897" s="1">
        <v>0</v>
      </c>
      <c r="AO897" s="1">
        <v>7.9794749999999999</v>
      </c>
      <c r="AP897" s="1">
        <v>1.1171264999999999</v>
      </c>
      <c r="AQ897" s="1">
        <v>399.97368</v>
      </c>
      <c r="AR897" s="1">
        <v>399.97368</v>
      </c>
      <c r="AS897" s="1">
        <v>99.99342</v>
      </c>
      <c r="AT897" s="2">
        <v>13.999078799999999</v>
      </c>
      <c r="AU897" s="1">
        <v>26.99</v>
      </c>
      <c r="AV897" s="1" t="s">
        <v>60</v>
      </c>
      <c r="AW897" s="1">
        <v>305.89100000000002</v>
      </c>
      <c r="AX897" s="1">
        <f>Table1[[#This Row],[Original Commissionable GMV]]-Table1[[#This Row],[Commission ]]-Table1[[#This Row],[Commission VAT]]-Table1[[#This Row],[FreeDeliveryFund]]</f>
        <v>258.99118119999997</v>
      </c>
    </row>
    <row r="898" spans="12:50" x14ac:dyDescent="0.25">
      <c r="L898" s="2">
        <v>504016</v>
      </c>
      <c r="M898" s="2" t="s">
        <v>52</v>
      </c>
      <c r="N898" s="2">
        <v>505837</v>
      </c>
      <c r="O898" t="s">
        <v>53</v>
      </c>
      <c r="P898">
        <v>3427222993</v>
      </c>
      <c r="Q898" s="2">
        <v>46051.891527777778</v>
      </c>
      <c r="R898" s="5" t="s">
        <v>54</v>
      </c>
      <c r="S898" s="2" t="s">
        <v>51</v>
      </c>
      <c r="T898" s="2" t="s">
        <v>55</v>
      </c>
      <c r="U898" s="2" t="s">
        <v>56</v>
      </c>
      <c r="V898" s="2" t="s">
        <v>57</v>
      </c>
      <c r="Y898" s="2">
        <v>353.99</v>
      </c>
      <c r="Z898" s="1">
        <v>353.99</v>
      </c>
      <c r="AA898" s="1">
        <v>31.99</v>
      </c>
      <c r="AB898" s="1">
        <v>17.7</v>
      </c>
      <c r="AC898" s="1">
        <v>0</v>
      </c>
      <c r="AD898" s="1">
        <v>49.574739999999998</v>
      </c>
      <c r="AE898" s="1">
        <v>403.68</v>
      </c>
      <c r="AH898" s="1">
        <v>0</v>
      </c>
      <c r="AL898" s="1">
        <v>0</v>
      </c>
      <c r="AM898" s="1">
        <v>0</v>
      </c>
      <c r="AN898" s="1">
        <v>0</v>
      </c>
      <c r="AO898" s="1">
        <v>6.1948249999999998</v>
      </c>
      <c r="AP898" s="1">
        <v>0.86727549999999998</v>
      </c>
      <c r="AQ898" s="1">
        <v>310.51754</v>
      </c>
      <c r="AR898" s="1">
        <v>310.51754</v>
      </c>
      <c r="AS898" s="1">
        <v>77.629390000000001</v>
      </c>
      <c r="AT898" s="2">
        <v>10.8681146</v>
      </c>
      <c r="AU898" s="1">
        <v>0</v>
      </c>
      <c r="AV898" s="1" t="s">
        <v>69</v>
      </c>
      <c r="AW898" s="1">
        <v>258.43</v>
      </c>
      <c r="AX898" s="1">
        <f>Table1[[#This Row],[Original Commissionable GMV]]-Table1[[#This Row],[Commission ]]-Table1[[#This Row],[Commission VAT]]-Table1[[#This Row],[FreeDeliveryFund]]</f>
        <v>222.02003539999998</v>
      </c>
    </row>
    <row r="899" spans="12:50" x14ac:dyDescent="0.25">
      <c r="L899" s="2">
        <v>504016</v>
      </c>
      <c r="M899" s="2" t="s">
        <v>52</v>
      </c>
      <c r="N899" s="2">
        <v>505839</v>
      </c>
      <c r="O899" t="s">
        <v>63</v>
      </c>
      <c r="P899">
        <v>3427241210</v>
      </c>
      <c r="Q899" s="2">
        <v>46051.897673611114</v>
      </c>
      <c r="R899" s="5" t="s">
        <v>54</v>
      </c>
      <c r="S899" s="2" t="s">
        <v>51</v>
      </c>
      <c r="T899" s="2" t="s">
        <v>55</v>
      </c>
      <c r="U899" s="2" t="s">
        <v>59</v>
      </c>
      <c r="V899" s="2" t="s">
        <v>57</v>
      </c>
      <c r="Y899" s="2">
        <v>634.94000000000005</v>
      </c>
      <c r="Z899" s="1">
        <v>634.94000000000005</v>
      </c>
      <c r="AA899" s="1">
        <v>35.99</v>
      </c>
      <c r="AB899" s="1">
        <v>29.99</v>
      </c>
      <c r="AC899" s="1">
        <v>0</v>
      </c>
      <c r="AD899" s="1">
        <v>86.077889999999996</v>
      </c>
      <c r="AE899" s="1">
        <v>700.92</v>
      </c>
      <c r="AH899" s="1">
        <v>0</v>
      </c>
      <c r="AL899" s="1">
        <v>0</v>
      </c>
      <c r="AM899" s="1">
        <v>0</v>
      </c>
      <c r="AN899" s="1">
        <v>0</v>
      </c>
      <c r="AO899" s="1">
        <v>11.11145</v>
      </c>
      <c r="AP899" s="1">
        <v>1.5556030000000001</v>
      </c>
      <c r="AQ899" s="1">
        <v>556.96491000000003</v>
      </c>
      <c r="AR899" s="1">
        <v>556.96491000000003</v>
      </c>
      <c r="AS899" s="1">
        <v>139.24123</v>
      </c>
      <c r="AT899" s="2">
        <v>19.493772199999999</v>
      </c>
      <c r="AU899" s="1">
        <v>0</v>
      </c>
      <c r="AV899" s="1" t="s">
        <v>69</v>
      </c>
      <c r="AW899" s="1">
        <v>463.53800000000001</v>
      </c>
      <c r="AX899" s="1">
        <f>Table1[[#This Row],[Original Commissionable GMV]]-Table1[[#This Row],[Commission ]]-Table1[[#This Row],[Commission VAT]]-Table1[[#This Row],[FreeDeliveryFund]]</f>
        <v>398.22990780000003</v>
      </c>
    </row>
    <row r="900" spans="12:50" x14ac:dyDescent="0.25">
      <c r="L900" s="2">
        <v>504016</v>
      </c>
      <c r="M900" s="2" t="s">
        <v>52</v>
      </c>
      <c r="N900" s="2">
        <v>505839</v>
      </c>
      <c r="O900" t="s">
        <v>53</v>
      </c>
      <c r="P900">
        <v>3427255118</v>
      </c>
      <c r="Q900" s="2">
        <v>46051.902372685188</v>
      </c>
      <c r="R900" s="5" t="s">
        <v>54</v>
      </c>
      <c r="S900" s="2" t="s">
        <v>51</v>
      </c>
      <c r="T900" s="2" t="s">
        <v>55</v>
      </c>
      <c r="U900" s="2" t="s">
        <v>56</v>
      </c>
      <c r="V900" s="2" t="s">
        <v>57</v>
      </c>
      <c r="Y900" s="2">
        <v>208.5</v>
      </c>
      <c r="Z900" s="1">
        <v>208.5</v>
      </c>
      <c r="AA900" s="1">
        <v>0</v>
      </c>
      <c r="AB900" s="1">
        <v>10.43</v>
      </c>
      <c r="AC900" s="1">
        <v>0</v>
      </c>
      <c r="AD900" s="1">
        <v>26.886140000000001</v>
      </c>
      <c r="AE900" s="1">
        <v>218.93</v>
      </c>
      <c r="AH900" s="1">
        <v>0</v>
      </c>
      <c r="AL900" s="1">
        <v>31.5</v>
      </c>
      <c r="AM900" s="1">
        <v>0</v>
      </c>
      <c r="AN900" s="1">
        <v>0</v>
      </c>
      <c r="AO900" s="1">
        <v>3.6487500000000002</v>
      </c>
      <c r="AP900" s="1">
        <v>0.51082499999999997</v>
      </c>
      <c r="AQ900" s="1">
        <v>182.89474000000001</v>
      </c>
      <c r="AR900" s="1">
        <v>182.89474000000001</v>
      </c>
      <c r="AS900" s="1">
        <v>45.723689999999998</v>
      </c>
      <c r="AT900" s="2">
        <v>6.4013166000000004</v>
      </c>
      <c r="AU900" s="1">
        <v>31.99</v>
      </c>
      <c r="AV900" s="1" t="s">
        <v>60</v>
      </c>
      <c r="AW900" s="1">
        <v>120.22499999999999</v>
      </c>
      <c r="AX900" s="1">
        <f>Table1[[#This Row],[Original Commissionable GMV]]-Table1[[#This Row],[Commission ]]-Table1[[#This Row],[Commission VAT]]-Table1[[#This Row],[FreeDeliveryFund]]</f>
        <v>98.779733400000012</v>
      </c>
    </row>
    <row r="901" spans="12:50" x14ac:dyDescent="0.25">
      <c r="L901" s="2">
        <v>504016</v>
      </c>
      <c r="M901" s="2" t="s">
        <v>52</v>
      </c>
      <c r="N901" s="2">
        <v>505839</v>
      </c>
      <c r="O901" t="s">
        <v>53</v>
      </c>
      <c r="P901">
        <v>3427287713</v>
      </c>
      <c r="Q901" s="2">
        <v>46051.9141087963</v>
      </c>
      <c r="R901" s="5" t="s">
        <v>54</v>
      </c>
      <c r="S901" s="2" t="s">
        <v>51</v>
      </c>
      <c r="T901" s="2" t="s">
        <v>55</v>
      </c>
      <c r="U901" s="2" t="s">
        <v>56</v>
      </c>
      <c r="V901" s="2" t="s">
        <v>57</v>
      </c>
      <c r="Y901" s="2">
        <v>329.99</v>
      </c>
      <c r="Z901" s="1">
        <v>329.99</v>
      </c>
      <c r="AA901" s="1">
        <v>30.99</v>
      </c>
      <c r="AB901" s="1">
        <v>16.5</v>
      </c>
      <c r="AC901" s="1">
        <v>0</v>
      </c>
      <c r="AD901" s="1">
        <v>46.357190000000003</v>
      </c>
      <c r="AE901" s="1">
        <v>377.48</v>
      </c>
      <c r="AH901" s="1">
        <v>0</v>
      </c>
      <c r="AL901" s="1">
        <v>0</v>
      </c>
      <c r="AM901" s="1">
        <v>0</v>
      </c>
      <c r="AN901" s="1">
        <v>0</v>
      </c>
      <c r="AO901" s="1">
        <v>5.7748249999999999</v>
      </c>
      <c r="AP901" s="1">
        <v>0.80847550000000001</v>
      </c>
      <c r="AQ901" s="1">
        <v>289.46490999999997</v>
      </c>
      <c r="AR901" s="1">
        <v>289.46490999999997</v>
      </c>
      <c r="AS901" s="1">
        <v>72.366230000000002</v>
      </c>
      <c r="AT901" s="2">
        <v>10.1312722</v>
      </c>
      <c r="AU901" s="1">
        <v>0</v>
      </c>
      <c r="AV901" s="1" t="s">
        <v>69</v>
      </c>
      <c r="AW901" s="1">
        <v>240.90899999999999</v>
      </c>
      <c r="AX901" s="1">
        <f>Table1[[#This Row],[Original Commissionable GMV]]-Table1[[#This Row],[Commission ]]-Table1[[#This Row],[Commission VAT]]-Table1[[#This Row],[FreeDeliveryFund]]</f>
        <v>206.96740779999996</v>
      </c>
    </row>
    <row r="902" spans="12:50" x14ac:dyDescent="0.25">
      <c r="L902" s="2">
        <v>504016</v>
      </c>
      <c r="M902" s="2" t="s">
        <v>52</v>
      </c>
      <c r="N902" s="2">
        <v>505837</v>
      </c>
      <c r="O902" t="s">
        <v>53</v>
      </c>
      <c r="P902">
        <v>3427292472</v>
      </c>
      <c r="Q902" s="2">
        <v>46051.915821759256</v>
      </c>
      <c r="R902" s="5" t="s">
        <v>54</v>
      </c>
      <c r="S902" s="2" t="s">
        <v>51</v>
      </c>
      <c r="T902" s="2" t="s">
        <v>55</v>
      </c>
      <c r="U902" s="2" t="s">
        <v>56</v>
      </c>
      <c r="V902" s="2" t="s">
        <v>57</v>
      </c>
      <c r="Y902" s="2">
        <v>427.82</v>
      </c>
      <c r="Z902" s="1">
        <v>427.82</v>
      </c>
      <c r="AA902" s="1">
        <v>9</v>
      </c>
      <c r="AB902" s="1">
        <v>21.39</v>
      </c>
      <c r="AC902" s="1">
        <v>0</v>
      </c>
      <c r="AD902" s="1">
        <v>56.2714</v>
      </c>
      <c r="AE902" s="1">
        <v>458.21</v>
      </c>
      <c r="AH902" s="1">
        <v>0</v>
      </c>
      <c r="AL902" s="1">
        <v>0</v>
      </c>
      <c r="AM902" s="1">
        <v>0</v>
      </c>
      <c r="AN902" s="1">
        <v>0</v>
      </c>
      <c r="AO902" s="1">
        <v>7.4868499999999996</v>
      </c>
      <c r="AP902" s="1">
        <v>1.0481590000000001</v>
      </c>
      <c r="AQ902" s="1">
        <v>375.28070000000002</v>
      </c>
      <c r="AR902" s="1">
        <v>375.28070000000002</v>
      </c>
      <c r="AS902" s="1">
        <v>93.820179999999993</v>
      </c>
      <c r="AT902" s="2">
        <v>13.1348252</v>
      </c>
      <c r="AU902" s="1">
        <v>33.99</v>
      </c>
      <c r="AV902" s="1" t="s">
        <v>60</v>
      </c>
      <c r="AW902" s="1">
        <v>278.33999999999997</v>
      </c>
      <c r="AX902" s="1">
        <f>Table1[[#This Row],[Original Commissionable GMV]]-Table1[[#This Row],[Commission ]]-Table1[[#This Row],[Commission VAT]]-Table1[[#This Row],[FreeDeliveryFund]]</f>
        <v>234.3356948</v>
      </c>
    </row>
    <row r="903" spans="12:50" x14ac:dyDescent="0.25">
      <c r="L903" s="2">
        <v>504016</v>
      </c>
      <c r="M903" s="2" t="s">
        <v>52</v>
      </c>
      <c r="N903" s="2">
        <v>505839</v>
      </c>
      <c r="O903" t="s">
        <v>63</v>
      </c>
      <c r="P903">
        <v>3427328697</v>
      </c>
      <c r="Q903" s="2">
        <v>46051.929814814815</v>
      </c>
      <c r="R903" s="5" t="s">
        <v>54</v>
      </c>
      <c r="S903" s="2" t="s">
        <v>51</v>
      </c>
      <c r="T903" s="2" t="s">
        <v>55</v>
      </c>
      <c r="U903" s="2" t="s">
        <v>59</v>
      </c>
      <c r="V903" s="2" t="s">
        <v>57</v>
      </c>
      <c r="Y903" s="2">
        <v>748.98</v>
      </c>
      <c r="Z903" s="1">
        <v>748.98</v>
      </c>
      <c r="AA903" s="1">
        <v>7</v>
      </c>
      <c r="AB903" s="1">
        <v>29.99</v>
      </c>
      <c r="AC903" s="1">
        <v>0</v>
      </c>
      <c r="AD903" s="1">
        <v>96.522630000000007</v>
      </c>
      <c r="AE903" s="1">
        <v>785.97</v>
      </c>
      <c r="AH903" s="1">
        <v>0</v>
      </c>
      <c r="AL903" s="1">
        <v>0</v>
      </c>
      <c r="AM903" s="1">
        <v>0</v>
      </c>
      <c r="AN903" s="1">
        <v>0</v>
      </c>
      <c r="AO903" s="1">
        <v>13.107150000000001</v>
      </c>
      <c r="AP903" s="1">
        <v>1.8350010000000001</v>
      </c>
      <c r="AQ903" s="1">
        <v>657</v>
      </c>
      <c r="AR903" s="1">
        <v>657</v>
      </c>
      <c r="AS903" s="1">
        <v>164.25</v>
      </c>
      <c r="AT903" s="2">
        <v>22.995000000000001</v>
      </c>
      <c r="AU903" s="1">
        <v>28.99</v>
      </c>
      <c r="AV903" s="1" t="s">
        <v>60</v>
      </c>
      <c r="AW903" s="1">
        <v>517.803</v>
      </c>
      <c r="AX903" s="1">
        <f>Table1[[#This Row],[Original Commissionable GMV]]-Table1[[#This Row],[Commission ]]-Table1[[#This Row],[Commission VAT]]-Table1[[#This Row],[FreeDeliveryFund]]</f>
        <v>440.76499999999999</v>
      </c>
    </row>
    <row r="904" spans="12:50" x14ac:dyDescent="0.25">
      <c r="L904" s="2">
        <v>504016</v>
      </c>
      <c r="M904" s="2" t="s">
        <v>52</v>
      </c>
      <c r="N904" s="2">
        <v>505839</v>
      </c>
      <c r="O904" t="s">
        <v>53</v>
      </c>
      <c r="P904">
        <v>3427330753</v>
      </c>
      <c r="Q904" s="2">
        <v>46051.930625000001</v>
      </c>
      <c r="R904" s="5" t="s">
        <v>62</v>
      </c>
      <c r="S904" s="2" t="s">
        <v>51</v>
      </c>
      <c r="T904" s="2" t="s">
        <v>55</v>
      </c>
      <c r="U904" s="2" t="s">
        <v>59</v>
      </c>
      <c r="V904" s="2" t="s">
        <v>57</v>
      </c>
      <c r="Y904" s="2">
        <v>305.93</v>
      </c>
      <c r="Z904" s="1">
        <v>305.93</v>
      </c>
      <c r="AA904" s="1">
        <v>0</v>
      </c>
      <c r="AB904" s="1">
        <v>15.3</v>
      </c>
      <c r="AC904" s="1">
        <v>0</v>
      </c>
      <c r="AD904" s="1">
        <v>39.449300000000001</v>
      </c>
      <c r="AE904" s="1">
        <v>321.23</v>
      </c>
      <c r="AH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268.35964999999999</v>
      </c>
      <c r="AR904" s="1">
        <v>268.35964999999999</v>
      </c>
      <c r="AS904" s="1">
        <v>67.089910000000003</v>
      </c>
      <c r="AT904" s="2">
        <v>9.3925874</v>
      </c>
      <c r="AU904" s="1">
        <v>31.99</v>
      </c>
      <c r="AV904" s="1" t="s">
        <v>60</v>
      </c>
      <c r="AW904" s="1">
        <v>197.458</v>
      </c>
      <c r="AX904" s="1">
        <f>Table1[[#This Row],[Original Commissionable GMV]]-Table1[[#This Row],[Commission ]]-Table1[[#This Row],[Commission VAT]]-Table1[[#This Row],[FreeDeliveryFund]]</f>
        <v>159.88715259999998</v>
      </c>
    </row>
    <row r="905" spans="12:50" x14ac:dyDescent="0.25">
      <c r="L905" s="2">
        <v>504016</v>
      </c>
      <c r="M905" s="2" t="s">
        <v>52</v>
      </c>
      <c r="N905" s="2">
        <v>505839</v>
      </c>
      <c r="O905" t="s">
        <v>53</v>
      </c>
      <c r="P905">
        <v>3427406549</v>
      </c>
      <c r="Q905" s="2">
        <v>46051.965254629627</v>
      </c>
      <c r="R905" s="5" t="s">
        <v>54</v>
      </c>
      <c r="S905" s="2" t="s">
        <v>51</v>
      </c>
      <c r="T905" s="2" t="s">
        <v>55</v>
      </c>
      <c r="U905" s="2" t="s">
        <v>56</v>
      </c>
      <c r="V905" s="2" t="s">
        <v>57</v>
      </c>
      <c r="Y905" s="2">
        <v>1649.95</v>
      </c>
      <c r="Z905" s="1">
        <v>1649.95</v>
      </c>
      <c r="AA905" s="1">
        <v>41.99</v>
      </c>
      <c r="AB905" s="1">
        <v>29.99</v>
      </c>
      <c r="AC905" s="1">
        <v>0</v>
      </c>
      <c r="AD905" s="1">
        <v>211.46509</v>
      </c>
      <c r="AE905" s="1">
        <v>1721.93</v>
      </c>
      <c r="AH905" s="1">
        <v>0</v>
      </c>
      <c r="AL905" s="1">
        <v>39</v>
      </c>
      <c r="AM905" s="1">
        <v>0</v>
      </c>
      <c r="AN905" s="1">
        <v>0</v>
      </c>
      <c r="AO905" s="1">
        <v>28.874126749999999</v>
      </c>
      <c r="AP905" s="1">
        <v>4.0423777449999996</v>
      </c>
      <c r="AQ905" s="1">
        <v>1447.32456</v>
      </c>
      <c r="AR905" s="1">
        <v>1447.32456</v>
      </c>
      <c r="AS905" s="1">
        <v>361.83114</v>
      </c>
      <c r="AT905" s="2">
        <v>50.656359600000002</v>
      </c>
      <c r="AU905" s="1">
        <v>0</v>
      </c>
      <c r="AV905" s="1" t="s">
        <v>69</v>
      </c>
      <c r="AW905" s="1">
        <v>1204.546</v>
      </c>
      <c r="AX905" s="1">
        <f>Table1[[#This Row],[Original Commissionable GMV]]-Table1[[#This Row],[Commission ]]-Table1[[#This Row],[Commission VAT]]-Table1[[#This Row],[FreeDeliveryFund]]</f>
        <v>1034.8370603999999</v>
      </c>
    </row>
    <row r="906" spans="12:50" x14ac:dyDescent="0.25">
      <c r="L906" s="2">
        <v>504016</v>
      </c>
      <c r="M906" s="2" t="s">
        <v>52</v>
      </c>
      <c r="N906" s="2">
        <v>505837</v>
      </c>
      <c r="O906" t="s">
        <v>63</v>
      </c>
      <c r="P906">
        <v>3428154313</v>
      </c>
      <c r="Q906" s="2">
        <v>46052.559594907405</v>
      </c>
      <c r="R906" s="5" t="s">
        <v>54</v>
      </c>
      <c r="S906" s="2" t="s">
        <v>51</v>
      </c>
      <c r="T906" s="2" t="s">
        <v>55</v>
      </c>
      <c r="U906" s="2" t="s">
        <v>56</v>
      </c>
      <c r="V906" s="2" t="s">
        <v>57</v>
      </c>
      <c r="Y906" s="2">
        <v>517.98</v>
      </c>
      <c r="Z906" s="1">
        <v>517.98</v>
      </c>
      <c r="AA906" s="1">
        <v>0</v>
      </c>
      <c r="AB906" s="1">
        <v>25.9</v>
      </c>
      <c r="AC906" s="1">
        <v>0</v>
      </c>
      <c r="AD906" s="1">
        <v>66.792280000000005</v>
      </c>
      <c r="AE906" s="1">
        <v>543.88</v>
      </c>
      <c r="AH906" s="1">
        <v>0</v>
      </c>
      <c r="AL906" s="1">
        <v>0</v>
      </c>
      <c r="AM906" s="1">
        <v>0</v>
      </c>
      <c r="AN906" s="1">
        <v>0</v>
      </c>
      <c r="AO906" s="1">
        <v>9.0646500000000003</v>
      </c>
      <c r="AP906" s="1">
        <v>1.2690509999999999</v>
      </c>
      <c r="AQ906" s="1">
        <v>454.36842000000001</v>
      </c>
      <c r="AR906" s="1">
        <v>454.36842000000001</v>
      </c>
      <c r="AS906" s="1">
        <v>113.59211000000001</v>
      </c>
      <c r="AT906" s="2">
        <v>15.9028954</v>
      </c>
      <c r="AU906" s="1">
        <v>29.99</v>
      </c>
      <c r="AV906" s="1" t="s">
        <v>60</v>
      </c>
      <c r="AW906" s="1">
        <v>348.161</v>
      </c>
      <c r="AX906" s="1">
        <f>Table1[[#This Row],[Original Commissionable GMV]]-Table1[[#This Row],[Commission ]]-Table1[[#This Row],[Commission VAT]]-Table1[[#This Row],[FreeDeliveryFund]]</f>
        <v>294.88341460000004</v>
      </c>
    </row>
    <row r="907" spans="12:50" x14ac:dyDescent="0.25">
      <c r="L907" s="2">
        <v>504016</v>
      </c>
      <c r="M907" s="2" t="s">
        <v>52</v>
      </c>
      <c r="N907" s="2">
        <v>505837</v>
      </c>
      <c r="O907" t="s">
        <v>63</v>
      </c>
      <c r="P907">
        <v>3428160745</v>
      </c>
      <c r="Q907" s="2">
        <v>46052.561851851853</v>
      </c>
      <c r="R907" s="5" t="s">
        <v>62</v>
      </c>
      <c r="S907" s="2" t="s">
        <v>51</v>
      </c>
      <c r="T907" s="2" t="s">
        <v>55</v>
      </c>
      <c r="U907" s="2" t="s">
        <v>56</v>
      </c>
      <c r="V907" s="2" t="s">
        <v>57</v>
      </c>
      <c r="Y907" s="2">
        <v>314.14999999999998</v>
      </c>
      <c r="Z907" s="1">
        <v>314.14999999999998</v>
      </c>
      <c r="AA907" s="1">
        <v>0</v>
      </c>
      <c r="AB907" s="1">
        <v>29.99</v>
      </c>
      <c r="AC907" s="1">
        <v>0</v>
      </c>
      <c r="AD907" s="1">
        <v>42.262810000000002</v>
      </c>
      <c r="AE907" s="1">
        <v>344.14</v>
      </c>
      <c r="AF907" s="1">
        <v>791.13</v>
      </c>
      <c r="AH907" s="1">
        <v>0</v>
      </c>
      <c r="AL907" s="1">
        <v>36</v>
      </c>
      <c r="AM907" s="1">
        <v>0</v>
      </c>
      <c r="AN907" s="1">
        <v>0</v>
      </c>
      <c r="AO907" s="1">
        <v>0</v>
      </c>
      <c r="AP907" s="1">
        <v>0</v>
      </c>
      <c r="AQ907" s="1">
        <v>661.52632000000006</v>
      </c>
      <c r="AR907" s="1">
        <v>661.52632000000006</v>
      </c>
      <c r="AS907" s="1">
        <v>165.38158000000001</v>
      </c>
      <c r="AT907" s="2">
        <v>23.1534212</v>
      </c>
      <c r="AU907" s="1">
        <v>29.99</v>
      </c>
      <c r="AV907" s="1" t="s">
        <v>60</v>
      </c>
      <c r="AW907" s="1">
        <v>95.625</v>
      </c>
      <c r="AX907" s="1">
        <f>Table1[[#This Row],[Original Commissionable GMV]]-Table1[[#This Row],[Commission ]]-Table1[[#This Row],[Commission VAT]]-Table1[[#This Row],[FreeDeliveryFund]]</f>
        <v>443.00131880000004</v>
      </c>
    </row>
    <row r="908" spans="12:50" x14ac:dyDescent="0.25">
      <c r="L908" s="2">
        <v>504016</v>
      </c>
      <c r="M908" s="2" t="s">
        <v>52</v>
      </c>
      <c r="N908" s="2">
        <v>505839</v>
      </c>
      <c r="O908" t="s">
        <v>53</v>
      </c>
      <c r="P908">
        <v>3428213433</v>
      </c>
      <c r="Q908" s="2">
        <v>46052.581250000003</v>
      </c>
      <c r="R908" s="5" t="s">
        <v>62</v>
      </c>
      <c r="S908" s="2" t="s">
        <v>51</v>
      </c>
      <c r="T908" s="2" t="s">
        <v>55</v>
      </c>
      <c r="U908" s="2" t="s">
        <v>56</v>
      </c>
      <c r="V908" s="2" t="s">
        <v>57</v>
      </c>
      <c r="Y908" s="2">
        <v>855.99</v>
      </c>
      <c r="Z908" s="1">
        <v>855.99</v>
      </c>
      <c r="AA908" s="1">
        <v>0</v>
      </c>
      <c r="AB908" s="1">
        <v>29.99</v>
      </c>
      <c r="AC908" s="1">
        <v>0</v>
      </c>
      <c r="AD908" s="1">
        <v>108.80456</v>
      </c>
      <c r="AE908" s="1">
        <v>885.98</v>
      </c>
      <c r="AH908" s="1">
        <v>0</v>
      </c>
      <c r="AL908" s="1">
        <v>0</v>
      </c>
      <c r="AM908" s="1">
        <v>30</v>
      </c>
      <c r="AN908" s="1">
        <v>4.2</v>
      </c>
      <c r="AO908" s="1">
        <v>0</v>
      </c>
      <c r="AP908" s="1">
        <v>0</v>
      </c>
      <c r="AQ908" s="1">
        <v>750.86842000000001</v>
      </c>
      <c r="AR908" s="1">
        <v>750.86842000000001</v>
      </c>
      <c r="AS908" s="1">
        <v>187.71710999999999</v>
      </c>
      <c r="AT908" s="2">
        <v>26.2803954</v>
      </c>
      <c r="AU908" s="1">
        <v>34.99</v>
      </c>
      <c r="AV908" s="1" t="s">
        <v>60</v>
      </c>
      <c r="AW908" s="1">
        <v>572.80200000000002</v>
      </c>
      <c r="AX908" s="1">
        <f>Table1[[#This Row],[Original Commissionable GMV]]-Table1[[#This Row],[Commission ]]-Table1[[#This Row],[Commission VAT]]-Table1[[#This Row],[FreeDeliveryFund]]</f>
        <v>501.88091459999998</v>
      </c>
    </row>
    <row r="909" spans="12:50" x14ac:dyDescent="0.25">
      <c r="L909" s="2">
        <v>504016</v>
      </c>
      <c r="M909" s="2" t="s">
        <v>52</v>
      </c>
      <c r="N909" s="2">
        <v>505839</v>
      </c>
      <c r="O909" t="s">
        <v>53</v>
      </c>
      <c r="P909">
        <v>3428242732</v>
      </c>
      <c r="Q909" s="2">
        <v>46052.592268518521</v>
      </c>
      <c r="R909" s="5" t="s">
        <v>66</v>
      </c>
      <c r="S909" s="2" t="s">
        <v>51</v>
      </c>
      <c r="T909" s="2" t="s">
        <v>55</v>
      </c>
      <c r="U909" s="2" t="s">
        <v>59</v>
      </c>
      <c r="V909" s="2" t="s">
        <v>57</v>
      </c>
      <c r="Y909" s="2">
        <v>1728.94</v>
      </c>
      <c r="Z909" s="1">
        <v>1728.94</v>
      </c>
      <c r="AA909" s="1">
        <v>9</v>
      </c>
      <c r="AB909" s="1">
        <v>29.99</v>
      </c>
      <c r="AC909" s="1">
        <v>0</v>
      </c>
      <c r="AD909" s="1">
        <v>217.11421000000001</v>
      </c>
      <c r="AE909" s="1">
        <v>1767.93</v>
      </c>
      <c r="AH909" s="1">
        <v>0</v>
      </c>
      <c r="AL909" s="1">
        <v>700</v>
      </c>
      <c r="AM909" s="1">
        <v>30</v>
      </c>
      <c r="AN909" s="1">
        <v>4.2</v>
      </c>
      <c r="AO909" s="1">
        <v>30.25645175</v>
      </c>
      <c r="AP909" s="1">
        <v>4.2359032450000003</v>
      </c>
      <c r="AQ909" s="1">
        <v>1516.6140399999999</v>
      </c>
      <c r="AR909" s="1">
        <v>1516.6140399999999</v>
      </c>
      <c r="AS909" s="1">
        <v>379.15350999999998</v>
      </c>
      <c r="AT909" s="2">
        <v>53.081491399999997</v>
      </c>
      <c r="AU909" s="1">
        <v>35.99</v>
      </c>
      <c r="AV909" s="1" t="s">
        <v>60</v>
      </c>
      <c r="AW909" s="1">
        <v>1192.0229999999999</v>
      </c>
      <c r="AX909" s="1">
        <f>Table1[[#This Row],[Original Commissionable GMV]]-Table1[[#This Row],[Commission ]]-Table1[[#This Row],[Commission VAT]]-Table1[[#This Row],[FreeDeliveryFund]]</f>
        <v>1048.3890385999998</v>
      </c>
    </row>
    <row r="910" spans="12:50" x14ac:dyDescent="0.25">
      <c r="L910" s="2">
        <v>504016</v>
      </c>
      <c r="M910" s="2" t="s">
        <v>52</v>
      </c>
      <c r="N910" s="2">
        <v>505839</v>
      </c>
      <c r="O910" t="s">
        <v>53</v>
      </c>
      <c r="P910">
        <v>3428251060</v>
      </c>
      <c r="Q910" s="2">
        <v>46052.595370370371</v>
      </c>
      <c r="R910" s="5" t="s">
        <v>54</v>
      </c>
      <c r="S910" s="2" t="s">
        <v>51</v>
      </c>
      <c r="T910" s="2" t="s">
        <v>55</v>
      </c>
      <c r="U910" s="2" t="s">
        <v>59</v>
      </c>
      <c r="V910" s="2" t="s">
        <v>57</v>
      </c>
      <c r="Y910" s="2">
        <v>643.66</v>
      </c>
      <c r="Z910" s="1">
        <v>643.66</v>
      </c>
      <c r="AA910" s="1">
        <v>9</v>
      </c>
      <c r="AB910" s="1">
        <v>29.99</v>
      </c>
      <c r="AC910" s="1">
        <v>0</v>
      </c>
      <c r="AD910" s="1">
        <v>83.834209999999999</v>
      </c>
      <c r="AE910" s="1">
        <v>682.65</v>
      </c>
      <c r="AH910" s="1">
        <v>0</v>
      </c>
      <c r="AL910" s="1">
        <v>0</v>
      </c>
      <c r="AM910" s="1">
        <v>0</v>
      </c>
      <c r="AN910" s="1">
        <v>0</v>
      </c>
      <c r="AO910" s="1">
        <v>11.264049999999999</v>
      </c>
      <c r="AP910" s="1">
        <v>1.576967</v>
      </c>
      <c r="AQ910" s="1">
        <v>564.61404000000005</v>
      </c>
      <c r="AR910" s="1">
        <v>564.61404000000005</v>
      </c>
      <c r="AS910" s="1">
        <v>141.15351000000001</v>
      </c>
      <c r="AT910" s="2">
        <v>19.761491400000001</v>
      </c>
      <c r="AU910" s="1">
        <v>33.99</v>
      </c>
      <c r="AV910" s="1" t="s">
        <v>60</v>
      </c>
      <c r="AW910" s="1">
        <v>435.91399999999999</v>
      </c>
      <c r="AX910" s="1">
        <f>Table1[[#This Row],[Original Commissionable GMV]]-Table1[[#This Row],[Commission ]]-Table1[[#This Row],[Commission VAT]]-Table1[[#This Row],[FreeDeliveryFund]]</f>
        <v>369.70903860000004</v>
      </c>
    </row>
    <row r="911" spans="12:50" x14ac:dyDescent="0.25">
      <c r="L911" s="2">
        <v>504016</v>
      </c>
      <c r="M911" s="2" t="s">
        <v>52</v>
      </c>
      <c r="N911" s="2">
        <v>505837</v>
      </c>
      <c r="O911" t="s">
        <v>53</v>
      </c>
      <c r="P911">
        <v>3428315888</v>
      </c>
      <c r="Q911" s="2">
        <v>46052.619675925926</v>
      </c>
      <c r="R911" s="5" t="s">
        <v>54</v>
      </c>
      <c r="S911" s="2" t="s">
        <v>51</v>
      </c>
      <c r="T911" s="2" t="s">
        <v>55</v>
      </c>
      <c r="U911" s="2" t="s">
        <v>56</v>
      </c>
      <c r="V911" s="2" t="s">
        <v>57</v>
      </c>
      <c r="Y911" s="2">
        <v>453.99</v>
      </c>
      <c r="Z911" s="1">
        <v>453.99</v>
      </c>
      <c r="AA911" s="1">
        <v>9</v>
      </c>
      <c r="AB911" s="1">
        <v>22.7</v>
      </c>
      <c r="AC911" s="1">
        <v>0</v>
      </c>
      <c r="AD911" s="1">
        <v>59.646140000000003</v>
      </c>
      <c r="AE911" s="1">
        <v>485.69</v>
      </c>
      <c r="AH911" s="1">
        <v>0</v>
      </c>
      <c r="AL911" s="1">
        <v>48</v>
      </c>
      <c r="AM911" s="1">
        <v>0</v>
      </c>
      <c r="AN911" s="1">
        <v>0</v>
      </c>
      <c r="AO911" s="1">
        <v>7.9448249999999998</v>
      </c>
      <c r="AP911" s="1">
        <v>1.1122755</v>
      </c>
      <c r="AQ911" s="1">
        <v>398.23683999999997</v>
      </c>
      <c r="AR911" s="1">
        <v>398.23683999999997</v>
      </c>
      <c r="AS911" s="1">
        <v>99.559209999999993</v>
      </c>
      <c r="AT911" s="2">
        <v>13.9382894</v>
      </c>
      <c r="AU911" s="1">
        <v>31.99</v>
      </c>
      <c r="AV911" s="1" t="s">
        <v>60</v>
      </c>
      <c r="AW911" s="1">
        <v>299.44499999999999</v>
      </c>
      <c r="AX911" s="1">
        <f>Table1[[#This Row],[Original Commissionable GMV]]-Table1[[#This Row],[Commission ]]-Table1[[#This Row],[Commission VAT]]-Table1[[#This Row],[FreeDeliveryFund]]</f>
        <v>252.74934059999998</v>
      </c>
    </row>
    <row r="912" spans="12:50" x14ac:dyDescent="0.25">
      <c r="L912" s="2">
        <v>504016</v>
      </c>
      <c r="M912" s="2" t="s">
        <v>52</v>
      </c>
      <c r="N912" s="2">
        <v>505837</v>
      </c>
      <c r="O912" t="s">
        <v>63</v>
      </c>
      <c r="P912">
        <v>3428321096</v>
      </c>
      <c r="Q912" s="2">
        <v>46052.621620370373</v>
      </c>
      <c r="R912" s="5" t="s">
        <v>54</v>
      </c>
      <c r="S912" s="2" t="s">
        <v>51</v>
      </c>
      <c r="T912" s="2" t="s">
        <v>55</v>
      </c>
      <c r="U912" s="2" t="s">
        <v>59</v>
      </c>
      <c r="V912" s="2" t="s">
        <v>57</v>
      </c>
      <c r="Y912" s="2">
        <v>487.99</v>
      </c>
      <c r="Z912" s="1">
        <v>487.99</v>
      </c>
      <c r="AA912" s="1">
        <v>0</v>
      </c>
      <c r="AB912" s="1">
        <v>24.4</v>
      </c>
      <c r="AC912" s="1">
        <v>0</v>
      </c>
      <c r="AD912" s="1">
        <v>62.925089999999997</v>
      </c>
      <c r="AE912" s="1">
        <v>512.39</v>
      </c>
      <c r="AH912" s="1">
        <v>0</v>
      </c>
      <c r="AL912" s="1">
        <v>0</v>
      </c>
      <c r="AM912" s="1">
        <v>0</v>
      </c>
      <c r="AN912" s="1">
        <v>0</v>
      </c>
      <c r="AO912" s="1">
        <v>8.5398250000000004</v>
      </c>
      <c r="AP912" s="1">
        <v>1.1955754999999999</v>
      </c>
      <c r="AQ912" s="1">
        <v>428.06139999999999</v>
      </c>
      <c r="AR912" s="1">
        <v>428.06139999999999</v>
      </c>
      <c r="AS912" s="1">
        <v>107.01535</v>
      </c>
      <c r="AT912" s="2">
        <v>14.982149</v>
      </c>
      <c r="AU912" s="1">
        <v>29.99</v>
      </c>
      <c r="AV912" s="1" t="s">
        <v>60</v>
      </c>
      <c r="AW912" s="1">
        <v>326.267</v>
      </c>
      <c r="AX912" s="1">
        <f>Table1[[#This Row],[Original Commissionable GMV]]-Table1[[#This Row],[Commission ]]-Table1[[#This Row],[Commission VAT]]-Table1[[#This Row],[FreeDeliveryFund]]</f>
        <v>276.07390099999998</v>
      </c>
    </row>
    <row r="913" spans="12:50" x14ac:dyDescent="0.25">
      <c r="L913" s="2">
        <v>504016</v>
      </c>
      <c r="M913" s="2" t="s">
        <v>52</v>
      </c>
      <c r="N913" s="2">
        <v>505839</v>
      </c>
      <c r="O913" t="s">
        <v>65</v>
      </c>
      <c r="P913">
        <v>3428324395</v>
      </c>
      <c r="Q913" s="2">
        <v>46052.622870370367</v>
      </c>
      <c r="R913" s="5" t="s">
        <v>54</v>
      </c>
      <c r="S913" s="2" t="s">
        <v>51</v>
      </c>
      <c r="T913" s="2" t="s">
        <v>55</v>
      </c>
      <c r="U913" s="2" t="s">
        <v>59</v>
      </c>
      <c r="V913" s="2" t="s">
        <v>57</v>
      </c>
      <c r="Y913" s="2">
        <v>352.99</v>
      </c>
      <c r="Z913" s="1">
        <v>352.99</v>
      </c>
      <c r="AA913" s="1">
        <v>27.99</v>
      </c>
      <c r="AB913" s="1">
        <v>17.649999999999999</v>
      </c>
      <c r="AC913" s="1">
        <v>0</v>
      </c>
      <c r="AD913" s="1">
        <v>48.954560000000001</v>
      </c>
      <c r="AE913" s="1">
        <v>398.63</v>
      </c>
      <c r="AH913" s="1">
        <v>0</v>
      </c>
      <c r="AL913" s="1">
        <v>53.4</v>
      </c>
      <c r="AM913" s="1">
        <v>0</v>
      </c>
      <c r="AN913" s="1">
        <v>0</v>
      </c>
      <c r="AO913" s="1">
        <v>6.1773249999999997</v>
      </c>
      <c r="AP913" s="1">
        <v>0.86482550000000002</v>
      </c>
      <c r="AQ913" s="1">
        <v>309.64035000000001</v>
      </c>
      <c r="AR913" s="1">
        <v>309.64035000000001</v>
      </c>
      <c r="AS913" s="1">
        <v>77.410089999999997</v>
      </c>
      <c r="AT913" s="2">
        <v>10.8374126</v>
      </c>
      <c r="AU913" s="1">
        <v>0</v>
      </c>
      <c r="AV913" s="1" t="s">
        <v>69</v>
      </c>
      <c r="AW913" s="1">
        <v>257.7</v>
      </c>
      <c r="AX913" s="1">
        <f>Table1[[#This Row],[Original Commissionable GMV]]-Table1[[#This Row],[Commission ]]-Table1[[#This Row],[Commission VAT]]-Table1[[#This Row],[FreeDeliveryFund]]</f>
        <v>221.39284740000002</v>
      </c>
    </row>
    <row r="914" spans="12:50" x14ac:dyDescent="0.25">
      <c r="L914" s="2">
        <v>504016</v>
      </c>
      <c r="M914" s="2" t="s">
        <v>52</v>
      </c>
      <c r="N914" s="2">
        <v>505839</v>
      </c>
      <c r="O914" t="s">
        <v>63</v>
      </c>
      <c r="P914">
        <v>3428335772</v>
      </c>
      <c r="Q914" s="2">
        <v>46052.627083333333</v>
      </c>
      <c r="R914" s="5" t="s">
        <v>54</v>
      </c>
      <c r="S914" s="2" t="s">
        <v>51</v>
      </c>
      <c r="T914" s="2" t="s">
        <v>55</v>
      </c>
      <c r="U914" s="2" t="s">
        <v>56</v>
      </c>
      <c r="V914" s="2" t="s">
        <v>57</v>
      </c>
      <c r="Y914" s="2">
        <v>581.07000000000005</v>
      </c>
      <c r="Z914" s="1">
        <v>581.07000000000005</v>
      </c>
      <c r="AA914" s="1">
        <v>36.99</v>
      </c>
      <c r="AB914" s="1">
        <v>29.05</v>
      </c>
      <c r="AC914" s="1">
        <v>0</v>
      </c>
      <c r="AD914" s="1">
        <v>79.469650000000001</v>
      </c>
      <c r="AE914" s="1">
        <v>647.11</v>
      </c>
      <c r="AH914" s="1">
        <v>0</v>
      </c>
      <c r="AL914" s="1">
        <v>0</v>
      </c>
      <c r="AM914" s="1">
        <v>30</v>
      </c>
      <c r="AN914" s="1">
        <v>4.2</v>
      </c>
      <c r="AO914" s="1">
        <v>10.168725</v>
      </c>
      <c r="AP914" s="1">
        <v>1.4236215000000001</v>
      </c>
      <c r="AQ914" s="1">
        <v>509.71053000000001</v>
      </c>
      <c r="AR914" s="1">
        <v>509.71053000000001</v>
      </c>
      <c r="AS914" s="1">
        <v>127.42762999999999</v>
      </c>
      <c r="AT914" s="2">
        <v>17.839868200000002</v>
      </c>
      <c r="AU914" s="1">
        <v>0</v>
      </c>
      <c r="AV914" s="1" t="s">
        <v>69</v>
      </c>
      <c r="AW914" s="1">
        <v>390.01</v>
      </c>
      <c r="AX914" s="1">
        <f>Table1[[#This Row],[Original Commissionable GMV]]-Table1[[#This Row],[Commission ]]-Table1[[#This Row],[Commission VAT]]-Table1[[#This Row],[FreeDeliveryFund]]</f>
        <v>364.44303180000003</v>
      </c>
    </row>
    <row r="915" spans="12:50" x14ac:dyDescent="0.25">
      <c r="L915" s="2">
        <v>504016</v>
      </c>
      <c r="M915" s="2" t="s">
        <v>52</v>
      </c>
      <c r="N915" s="2">
        <v>505839</v>
      </c>
      <c r="O915" t="s">
        <v>63</v>
      </c>
      <c r="P915">
        <v>3428344116</v>
      </c>
      <c r="Q915" s="2">
        <v>46052.63008101852</v>
      </c>
      <c r="R915" s="5" t="s">
        <v>54</v>
      </c>
      <c r="S915" s="2" t="s">
        <v>51</v>
      </c>
      <c r="T915" s="2" t="s">
        <v>55</v>
      </c>
      <c r="U915" s="2" t="s">
        <v>59</v>
      </c>
      <c r="V915" s="2" t="s">
        <v>57</v>
      </c>
      <c r="Y915" s="2">
        <v>253.99</v>
      </c>
      <c r="Z915" s="1">
        <v>253.99</v>
      </c>
      <c r="AA915" s="1">
        <v>7</v>
      </c>
      <c r="AB915" s="1">
        <v>12.7</v>
      </c>
      <c r="AC915" s="1">
        <v>0</v>
      </c>
      <c r="AD915" s="1">
        <v>33.611049999999999</v>
      </c>
      <c r="AE915" s="1">
        <v>273.69</v>
      </c>
      <c r="AH915" s="1">
        <v>0</v>
      </c>
      <c r="AL915" s="1">
        <v>0</v>
      </c>
      <c r="AM915" s="1">
        <v>0</v>
      </c>
      <c r="AN915" s="1">
        <v>0</v>
      </c>
      <c r="AO915" s="1">
        <v>4.4448249999999998</v>
      </c>
      <c r="AP915" s="1">
        <v>0.62227549999999998</v>
      </c>
      <c r="AQ915" s="1">
        <v>222.79825</v>
      </c>
      <c r="AR915" s="1">
        <v>222.79825</v>
      </c>
      <c r="AS915" s="1">
        <v>55.699559999999998</v>
      </c>
      <c r="AT915" s="2">
        <v>7.7979383999999996</v>
      </c>
      <c r="AU915" s="1">
        <v>26.99</v>
      </c>
      <c r="AV915" s="1" t="s">
        <v>60</v>
      </c>
      <c r="AW915" s="1">
        <v>158.435</v>
      </c>
      <c r="AX915" s="1">
        <f>Table1[[#This Row],[Original Commissionable GMV]]-Table1[[#This Row],[Commission ]]-Table1[[#This Row],[Commission VAT]]-Table1[[#This Row],[FreeDeliveryFund]]</f>
        <v>132.3107516</v>
      </c>
    </row>
    <row r="916" spans="12:50" x14ac:dyDescent="0.25">
      <c r="L916" s="2">
        <v>504016</v>
      </c>
      <c r="M916" s="2" t="s">
        <v>52</v>
      </c>
      <c r="N916" s="2">
        <v>505839</v>
      </c>
      <c r="O916" t="s">
        <v>63</v>
      </c>
      <c r="P916">
        <v>3428344458</v>
      </c>
      <c r="Q916" s="2">
        <v>46052.630196759259</v>
      </c>
      <c r="R916" s="5" t="s">
        <v>54</v>
      </c>
      <c r="S916" s="2" t="s">
        <v>51</v>
      </c>
      <c r="T916" s="2" t="s">
        <v>55</v>
      </c>
      <c r="U916" s="2" t="s">
        <v>59</v>
      </c>
      <c r="V916" s="2" t="s">
        <v>57</v>
      </c>
      <c r="Y916" s="2">
        <v>811.97</v>
      </c>
      <c r="Z916" s="1">
        <v>811.97</v>
      </c>
      <c r="AA916" s="1">
        <v>0</v>
      </c>
      <c r="AB916" s="1">
        <v>29.99</v>
      </c>
      <c r="AC916" s="1">
        <v>0</v>
      </c>
      <c r="AD916" s="1">
        <v>103.3986</v>
      </c>
      <c r="AE916" s="1">
        <v>841.96</v>
      </c>
      <c r="AH916" s="1">
        <v>0</v>
      </c>
      <c r="AL916" s="1">
        <v>0</v>
      </c>
      <c r="AM916" s="1">
        <v>0</v>
      </c>
      <c r="AN916" s="1">
        <v>0</v>
      </c>
      <c r="AO916" s="1">
        <v>14.209474999999999</v>
      </c>
      <c r="AP916" s="1">
        <v>1.9893265</v>
      </c>
      <c r="AQ916" s="1">
        <v>712.25438999999994</v>
      </c>
      <c r="AR916" s="1">
        <v>712.25438999999994</v>
      </c>
      <c r="AS916" s="1">
        <v>178.06360000000001</v>
      </c>
      <c r="AT916" s="2">
        <v>24.928903999999999</v>
      </c>
      <c r="AU916" s="1">
        <v>30.99</v>
      </c>
      <c r="AV916" s="1" t="s">
        <v>60</v>
      </c>
      <c r="AW916" s="1">
        <v>561.78899999999999</v>
      </c>
      <c r="AX916" s="1">
        <f>Table1[[#This Row],[Original Commissionable GMV]]-Table1[[#This Row],[Commission ]]-Table1[[#This Row],[Commission VAT]]-Table1[[#This Row],[FreeDeliveryFund]]</f>
        <v>478.27188599999988</v>
      </c>
    </row>
    <row r="917" spans="12:50" x14ac:dyDescent="0.25">
      <c r="L917" s="2">
        <v>504016</v>
      </c>
      <c r="M917" s="2" t="s">
        <v>52</v>
      </c>
      <c r="N917" s="2">
        <v>505837</v>
      </c>
      <c r="O917" t="s">
        <v>53</v>
      </c>
      <c r="P917">
        <v>3428357841</v>
      </c>
      <c r="Q917" s="2">
        <v>46052.635023148148</v>
      </c>
      <c r="R917" s="5" t="s">
        <v>54</v>
      </c>
      <c r="S917" s="2" t="s">
        <v>51</v>
      </c>
      <c r="T917" s="2" t="s">
        <v>55</v>
      </c>
      <c r="U917" s="2" t="s">
        <v>56</v>
      </c>
      <c r="V917" s="2" t="s">
        <v>57</v>
      </c>
      <c r="Y917" s="2">
        <v>1157.98</v>
      </c>
      <c r="Z917" s="1">
        <v>1157.98</v>
      </c>
      <c r="AA917" s="1">
        <v>0</v>
      </c>
      <c r="AB917" s="1">
        <v>29.99</v>
      </c>
      <c r="AC917" s="1">
        <v>0</v>
      </c>
      <c r="AD917" s="1">
        <v>145.89105000000001</v>
      </c>
      <c r="AE917" s="1">
        <v>1187.97</v>
      </c>
      <c r="AH917" s="1">
        <v>0</v>
      </c>
      <c r="AL917" s="1">
        <v>0</v>
      </c>
      <c r="AM917" s="1">
        <v>0</v>
      </c>
      <c r="AN917" s="1">
        <v>0</v>
      </c>
      <c r="AO917" s="1">
        <v>20.26465</v>
      </c>
      <c r="AP917" s="1">
        <v>2.8370510000000002</v>
      </c>
      <c r="AQ917" s="1">
        <v>1015.77193</v>
      </c>
      <c r="AR917" s="1">
        <v>1015.77193</v>
      </c>
      <c r="AS917" s="1">
        <v>253.94298000000001</v>
      </c>
      <c r="AT917" s="2">
        <v>35.552017200000002</v>
      </c>
      <c r="AU917" s="1">
        <v>32.99</v>
      </c>
      <c r="AV917" s="1" t="s">
        <v>60</v>
      </c>
      <c r="AW917" s="1">
        <v>812.39300000000003</v>
      </c>
      <c r="AX917" s="1">
        <f>Table1[[#This Row],[Original Commissionable GMV]]-Table1[[#This Row],[Commission ]]-Table1[[#This Row],[Commission VAT]]-Table1[[#This Row],[FreeDeliveryFund]]</f>
        <v>693.28693279999993</v>
      </c>
    </row>
    <row r="918" spans="12:50" x14ac:dyDescent="0.25">
      <c r="L918" s="2">
        <v>504016</v>
      </c>
      <c r="M918" s="2" t="s">
        <v>52</v>
      </c>
      <c r="N918" s="2">
        <v>505839</v>
      </c>
      <c r="O918" t="s">
        <v>53</v>
      </c>
      <c r="P918">
        <v>3428368498</v>
      </c>
      <c r="Q918" s="2">
        <v>46052.638819444444</v>
      </c>
      <c r="R918" s="5" t="s">
        <v>62</v>
      </c>
      <c r="S918" s="2" t="s">
        <v>51</v>
      </c>
      <c r="T918" s="2" t="s">
        <v>55</v>
      </c>
      <c r="U918" s="2" t="s">
        <v>59</v>
      </c>
      <c r="V918" s="2" t="s">
        <v>57</v>
      </c>
      <c r="Y918" s="2">
        <v>1957.96</v>
      </c>
      <c r="Z918" s="1">
        <v>1957.96</v>
      </c>
      <c r="AA918" s="1">
        <v>32.99</v>
      </c>
      <c r="AB918" s="1">
        <v>29.99</v>
      </c>
      <c r="AC918" s="1">
        <v>0</v>
      </c>
      <c r="AD918" s="1">
        <v>242.6593</v>
      </c>
      <c r="AE918" s="1">
        <v>1975.94</v>
      </c>
      <c r="AH918" s="1">
        <v>45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1717.5087699999999</v>
      </c>
      <c r="AR918" s="1">
        <v>1717.5087699999999</v>
      </c>
      <c r="AS918" s="1">
        <v>429.37718999999998</v>
      </c>
      <c r="AT918" s="2">
        <v>60.112806599999999</v>
      </c>
      <c r="AU918" s="1">
        <v>0</v>
      </c>
      <c r="AV918" s="1" t="s">
        <v>69</v>
      </c>
      <c r="AW918" s="1">
        <v>1468.47</v>
      </c>
      <c r="AX918" s="1">
        <f>Table1[[#This Row],[Original Commissionable GMV]]-Table1[[#This Row],[Commission ]]-Table1[[#This Row],[Commission VAT]]-Table1[[#This Row],[FreeDeliveryFund]]</f>
        <v>1228.0187734000001</v>
      </c>
    </row>
    <row r="919" spans="12:50" x14ac:dyDescent="0.25">
      <c r="L919" s="2">
        <v>504016</v>
      </c>
      <c r="M919" s="2" t="s">
        <v>52</v>
      </c>
      <c r="N919" s="2">
        <v>505839</v>
      </c>
      <c r="O919" t="s">
        <v>63</v>
      </c>
      <c r="P919">
        <v>3428370579</v>
      </c>
      <c r="Q919" s="2">
        <v>46052.639560185184</v>
      </c>
      <c r="R919" s="5" t="s">
        <v>54</v>
      </c>
      <c r="S919" s="2" t="s">
        <v>51</v>
      </c>
      <c r="T919" s="2" t="s">
        <v>55</v>
      </c>
      <c r="U919" s="2" t="s">
        <v>56</v>
      </c>
      <c r="V919" s="2" t="s">
        <v>57</v>
      </c>
      <c r="Y919" s="2">
        <v>866.99</v>
      </c>
      <c r="Z919" s="1">
        <v>866.99</v>
      </c>
      <c r="AA919" s="1">
        <v>0</v>
      </c>
      <c r="AB919" s="1">
        <v>29.99</v>
      </c>
      <c r="AC919" s="1">
        <v>0</v>
      </c>
      <c r="AD919" s="1">
        <v>110.15544</v>
      </c>
      <c r="AE919" s="1">
        <v>896.98</v>
      </c>
      <c r="AH919" s="1">
        <v>0</v>
      </c>
      <c r="AL919" s="1">
        <v>0</v>
      </c>
      <c r="AM919" s="1">
        <v>0</v>
      </c>
      <c r="AN919" s="1">
        <v>0</v>
      </c>
      <c r="AO919" s="1">
        <v>15.172325000000001</v>
      </c>
      <c r="AP919" s="1">
        <v>2.1241254999999999</v>
      </c>
      <c r="AQ919" s="1">
        <v>760.51754000000005</v>
      </c>
      <c r="AR919" s="1">
        <v>760.51754000000005</v>
      </c>
      <c r="AS919" s="1">
        <v>190.12939</v>
      </c>
      <c r="AT919" s="2">
        <v>26.618114599999998</v>
      </c>
      <c r="AU919" s="1">
        <v>28.99</v>
      </c>
      <c r="AV919" s="1" t="s">
        <v>60</v>
      </c>
      <c r="AW919" s="1">
        <v>603.95600000000002</v>
      </c>
      <c r="AX919" s="1">
        <f>Table1[[#This Row],[Original Commissionable GMV]]-Table1[[#This Row],[Commission ]]-Table1[[#This Row],[Commission VAT]]-Table1[[#This Row],[FreeDeliveryFund]]</f>
        <v>514.78003539999997</v>
      </c>
    </row>
    <row r="920" spans="12:50" x14ac:dyDescent="0.25">
      <c r="L920" s="2">
        <v>504016</v>
      </c>
      <c r="M920" s="2" t="s">
        <v>52</v>
      </c>
      <c r="N920" s="2">
        <v>505839</v>
      </c>
      <c r="O920" t="s">
        <v>65</v>
      </c>
      <c r="P920">
        <v>3428399017</v>
      </c>
      <c r="Q920" s="2">
        <v>46052.649618055555</v>
      </c>
      <c r="R920" s="5" t="s">
        <v>54</v>
      </c>
      <c r="S920" s="2" t="s">
        <v>51</v>
      </c>
      <c r="T920" s="2" t="s">
        <v>55</v>
      </c>
      <c r="U920" s="2" t="s">
        <v>56</v>
      </c>
      <c r="V920" s="2" t="s">
        <v>57</v>
      </c>
      <c r="Y920" s="2">
        <v>729.64</v>
      </c>
      <c r="Z920" s="1">
        <v>729.64</v>
      </c>
      <c r="AA920" s="1">
        <v>28.99</v>
      </c>
      <c r="AB920" s="1">
        <v>29.99</v>
      </c>
      <c r="AC920" s="1">
        <v>0</v>
      </c>
      <c r="AD920" s="1">
        <v>96.848070000000007</v>
      </c>
      <c r="AE920" s="1">
        <v>788.62</v>
      </c>
      <c r="AH920" s="1">
        <v>0</v>
      </c>
      <c r="AL920" s="1">
        <v>0</v>
      </c>
      <c r="AM920" s="1">
        <v>0</v>
      </c>
      <c r="AN920" s="1">
        <v>0</v>
      </c>
      <c r="AO920" s="1">
        <v>12.768700000000001</v>
      </c>
      <c r="AP920" s="1">
        <v>1.7876179999999999</v>
      </c>
      <c r="AQ920" s="1">
        <v>640.03508999999997</v>
      </c>
      <c r="AR920" s="1">
        <v>640.03508999999997</v>
      </c>
      <c r="AS920" s="1">
        <v>160.00877</v>
      </c>
      <c r="AT920" s="2">
        <v>22.401227800000001</v>
      </c>
      <c r="AU920" s="1">
        <v>0</v>
      </c>
      <c r="AV920" s="1" t="s">
        <v>69</v>
      </c>
      <c r="AW920" s="1">
        <v>532.67399999999998</v>
      </c>
      <c r="AX920" s="1">
        <f>Table1[[#This Row],[Original Commissionable GMV]]-Table1[[#This Row],[Commission ]]-Table1[[#This Row],[Commission VAT]]-Table1[[#This Row],[FreeDeliveryFund]]</f>
        <v>457.62509219999993</v>
      </c>
    </row>
    <row r="921" spans="12:50" x14ac:dyDescent="0.25">
      <c r="L921" s="2">
        <v>504016</v>
      </c>
      <c r="M921" s="2" t="s">
        <v>52</v>
      </c>
      <c r="N921" s="2">
        <v>505837</v>
      </c>
      <c r="O921" t="s">
        <v>53</v>
      </c>
      <c r="P921">
        <v>3428460459</v>
      </c>
      <c r="Q921" s="2">
        <v>46052.671076388891</v>
      </c>
      <c r="R921" s="5" t="s">
        <v>62</v>
      </c>
      <c r="S921" s="2" t="s">
        <v>51</v>
      </c>
      <c r="T921" s="2" t="s">
        <v>55</v>
      </c>
      <c r="U921" s="2" t="s">
        <v>56</v>
      </c>
      <c r="V921" s="2" t="s">
        <v>57</v>
      </c>
      <c r="Y921" s="2">
        <v>523.5</v>
      </c>
      <c r="Z921" s="1">
        <v>523.5</v>
      </c>
      <c r="AA921" s="1">
        <v>41.99</v>
      </c>
      <c r="AB921" s="1">
        <v>26.18</v>
      </c>
      <c r="AC921" s="1">
        <v>0</v>
      </c>
      <c r="AD921" s="1">
        <v>72.661230000000003</v>
      </c>
      <c r="AE921" s="1">
        <v>591.66999999999996</v>
      </c>
      <c r="AH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459.21053000000001</v>
      </c>
      <c r="AR921" s="1">
        <v>459.21053000000001</v>
      </c>
      <c r="AS921" s="1">
        <v>114.80262999999999</v>
      </c>
      <c r="AT921" s="2">
        <v>16.0723682</v>
      </c>
      <c r="AU921" s="1">
        <v>0</v>
      </c>
      <c r="AV921" s="1" t="s">
        <v>69</v>
      </c>
      <c r="AW921" s="1">
        <v>392.625</v>
      </c>
      <c r="AX921" s="1">
        <f>Table1[[#This Row],[Original Commissionable GMV]]-Table1[[#This Row],[Commission ]]-Table1[[#This Row],[Commission VAT]]-Table1[[#This Row],[FreeDeliveryFund]]</f>
        <v>328.33553180000001</v>
      </c>
    </row>
    <row r="922" spans="12:50" x14ac:dyDescent="0.25">
      <c r="L922" s="2">
        <v>504016</v>
      </c>
      <c r="M922" s="2" t="s">
        <v>52</v>
      </c>
      <c r="N922" s="2">
        <v>505837</v>
      </c>
      <c r="O922" t="s">
        <v>53</v>
      </c>
      <c r="P922">
        <v>3428476200</v>
      </c>
      <c r="Q922" s="2">
        <v>46052.676481481481</v>
      </c>
      <c r="R922" s="5" t="s">
        <v>62</v>
      </c>
      <c r="S922" s="2" t="s">
        <v>51</v>
      </c>
      <c r="T922" s="2" t="s">
        <v>55</v>
      </c>
      <c r="U922" s="2" t="s">
        <v>56</v>
      </c>
      <c r="V922" s="2" t="s">
        <v>57</v>
      </c>
      <c r="Y922" s="2">
        <v>579</v>
      </c>
      <c r="Z922" s="1">
        <v>579</v>
      </c>
      <c r="AA922" s="1">
        <v>34.99</v>
      </c>
      <c r="AB922" s="1">
        <v>28.95</v>
      </c>
      <c r="AC922" s="1">
        <v>0</v>
      </c>
      <c r="AD922" s="1">
        <v>78.957539999999995</v>
      </c>
      <c r="AE922" s="1">
        <v>642.94000000000005</v>
      </c>
      <c r="AH922" s="1">
        <v>0</v>
      </c>
      <c r="AL922" s="1">
        <v>72</v>
      </c>
      <c r="AM922" s="1">
        <v>0</v>
      </c>
      <c r="AN922" s="1">
        <v>0</v>
      </c>
      <c r="AO922" s="1">
        <v>0</v>
      </c>
      <c r="AP922" s="1">
        <v>0</v>
      </c>
      <c r="AQ922" s="1">
        <v>507.89474000000001</v>
      </c>
      <c r="AR922" s="1">
        <v>507.89474000000001</v>
      </c>
      <c r="AS922" s="1">
        <v>126.97369</v>
      </c>
      <c r="AT922" s="2">
        <v>17.776316600000001</v>
      </c>
      <c r="AU922" s="1">
        <v>0</v>
      </c>
      <c r="AV922" s="1" t="s">
        <v>69</v>
      </c>
      <c r="AW922" s="1">
        <v>434.25</v>
      </c>
      <c r="AX922" s="1">
        <f>Table1[[#This Row],[Original Commissionable GMV]]-Table1[[#This Row],[Commission ]]-Table1[[#This Row],[Commission VAT]]-Table1[[#This Row],[FreeDeliveryFund]]</f>
        <v>363.14473340000006</v>
      </c>
    </row>
    <row r="923" spans="12:50" x14ac:dyDescent="0.25">
      <c r="L923" s="2">
        <v>504016</v>
      </c>
      <c r="M923" s="2" t="s">
        <v>52</v>
      </c>
      <c r="N923" s="2">
        <v>505837</v>
      </c>
      <c r="O923" t="s">
        <v>65</v>
      </c>
      <c r="P923">
        <v>3428502097</v>
      </c>
      <c r="Q923" s="2">
        <v>46052.685173611113</v>
      </c>
      <c r="R923" s="5" t="s">
        <v>54</v>
      </c>
      <c r="S923" s="2" t="s">
        <v>51</v>
      </c>
      <c r="T923" s="2" t="s">
        <v>55</v>
      </c>
      <c r="U923" s="2" t="s">
        <v>56</v>
      </c>
      <c r="V923" s="2" t="s">
        <v>57</v>
      </c>
      <c r="Y923" s="2">
        <v>275.99</v>
      </c>
      <c r="Z923" s="1">
        <v>275.99</v>
      </c>
      <c r="AA923" s="1">
        <v>0</v>
      </c>
      <c r="AB923" s="1">
        <v>13.8</v>
      </c>
      <c r="AC923" s="1">
        <v>0</v>
      </c>
      <c r="AD923" s="1">
        <v>35.588250000000002</v>
      </c>
      <c r="AE923" s="1">
        <v>289.79000000000002</v>
      </c>
      <c r="AH923" s="1">
        <v>0</v>
      </c>
      <c r="AL923" s="1">
        <v>0</v>
      </c>
      <c r="AM923" s="1">
        <v>0</v>
      </c>
      <c r="AN923" s="1">
        <v>0</v>
      </c>
      <c r="AO923" s="1">
        <v>4.8298249999999996</v>
      </c>
      <c r="AP923" s="1">
        <v>0.67617550000000004</v>
      </c>
      <c r="AQ923" s="1">
        <v>242.09648999999999</v>
      </c>
      <c r="AR923" s="1">
        <v>242.09648999999999</v>
      </c>
      <c r="AS923" s="1">
        <v>60.524120000000003</v>
      </c>
      <c r="AT923" s="2">
        <v>8.4733768000000005</v>
      </c>
      <c r="AU923" s="1">
        <v>28.99</v>
      </c>
      <c r="AV923" s="1" t="s">
        <v>60</v>
      </c>
      <c r="AW923" s="1">
        <v>172.49700000000001</v>
      </c>
      <c r="AX923" s="1">
        <f>Table1[[#This Row],[Original Commissionable GMV]]-Table1[[#This Row],[Commission ]]-Table1[[#This Row],[Commission VAT]]-Table1[[#This Row],[FreeDeliveryFund]]</f>
        <v>144.10899319999996</v>
      </c>
    </row>
    <row r="924" spans="12:50" x14ac:dyDescent="0.25">
      <c r="L924" s="2">
        <v>504016</v>
      </c>
      <c r="M924" s="2" t="s">
        <v>52</v>
      </c>
      <c r="N924" s="2">
        <v>505837</v>
      </c>
      <c r="O924" t="s">
        <v>53</v>
      </c>
      <c r="P924">
        <v>3428531839</v>
      </c>
      <c r="Q924" s="2">
        <v>46052.695081018515</v>
      </c>
      <c r="R924" s="5" t="s">
        <v>62</v>
      </c>
      <c r="S924" s="2" t="s">
        <v>51</v>
      </c>
      <c r="T924" s="2" t="s">
        <v>55</v>
      </c>
      <c r="U924" s="2" t="s">
        <v>56</v>
      </c>
      <c r="V924" s="2" t="s">
        <v>57</v>
      </c>
      <c r="Y924" s="2">
        <v>353.99</v>
      </c>
      <c r="Z924" s="1">
        <v>353.99</v>
      </c>
      <c r="AA924" s="1">
        <v>34.99</v>
      </c>
      <c r="AB924" s="1">
        <v>17.7</v>
      </c>
      <c r="AC924" s="1">
        <v>0</v>
      </c>
      <c r="AD924" s="1">
        <v>49.943159999999999</v>
      </c>
      <c r="AE924" s="1">
        <v>406.68</v>
      </c>
      <c r="AH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310.51754</v>
      </c>
      <c r="AR924" s="1">
        <v>310.51754</v>
      </c>
      <c r="AS924" s="1">
        <v>77.629390000000001</v>
      </c>
      <c r="AT924" s="2">
        <v>10.8681146</v>
      </c>
      <c r="AU924" s="1">
        <v>0</v>
      </c>
      <c r="AV924" s="1" t="s">
        <v>69</v>
      </c>
      <c r="AW924" s="1">
        <v>265.49200000000002</v>
      </c>
      <c r="AX924" s="1">
        <f>Table1[[#This Row],[Original Commissionable GMV]]-Table1[[#This Row],[Commission ]]-Table1[[#This Row],[Commission VAT]]-Table1[[#This Row],[FreeDeliveryFund]]</f>
        <v>222.02003539999998</v>
      </c>
    </row>
    <row r="925" spans="12:50" x14ac:dyDescent="0.25">
      <c r="L925" s="2">
        <v>504016</v>
      </c>
      <c r="M925" s="2" t="s">
        <v>52</v>
      </c>
      <c r="N925" s="2">
        <v>505835</v>
      </c>
      <c r="O925" t="s">
        <v>63</v>
      </c>
      <c r="P925">
        <v>3428531907</v>
      </c>
      <c r="Q925" s="2">
        <v>46052.695092592592</v>
      </c>
      <c r="R925" s="5" t="s">
        <v>54</v>
      </c>
      <c r="S925" s="2" t="s">
        <v>51</v>
      </c>
      <c r="T925" s="2" t="s">
        <v>55</v>
      </c>
      <c r="U925" s="2" t="s">
        <v>56</v>
      </c>
      <c r="V925" s="2" t="s">
        <v>57</v>
      </c>
      <c r="Y925" s="2">
        <v>429.99</v>
      </c>
      <c r="Z925" s="1">
        <v>429.99</v>
      </c>
      <c r="AA925" s="1">
        <v>0</v>
      </c>
      <c r="AB925" s="1">
        <v>21.5</v>
      </c>
      <c r="AC925" s="1">
        <v>0</v>
      </c>
      <c r="AD925" s="1">
        <v>55.44614</v>
      </c>
      <c r="AE925" s="1">
        <v>451.49</v>
      </c>
      <c r="AH925" s="1">
        <v>0</v>
      </c>
      <c r="AL925" s="1">
        <v>60</v>
      </c>
      <c r="AM925" s="1">
        <v>0</v>
      </c>
      <c r="AN925" s="1">
        <v>0</v>
      </c>
      <c r="AO925" s="1">
        <v>7.5248249999999999</v>
      </c>
      <c r="AP925" s="1">
        <v>1.0534755</v>
      </c>
      <c r="AQ925" s="1">
        <v>377.18421000000001</v>
      </c>
      <c r="AR925" s="1">
        <v>377.18421000000001</v>
      </c>
      <c r="AS925" s="1">
        <v>94.296049999999994</v>
      </c>
      <c r="AT925" s="2">
        <v>13.201447</v>
      </c>
      <c r="AU925" s="1">
        <v>29.99</v>
      </c>
      <c r="AV925" s="1" t="s">
        <v>60</v>
      </c>
      <c r="AW925" s="1">
        <v>283.92399999999998</v>
      </c>
      <c r="AX925" s="1">
        <f>Table1[[#This Row],[Original Commissionable GMV]]-Table1[[#This Row],[Commission ]]-Table1[[#This Row],[Commission VAT]]-Table1[[#This Row],[FreeDeliveryFund]]</f>
        <v>239.69671300000005</v>
      </c>
    </row>
    <row r="926" spans="12:50" x14ac:dyDescent="0.25">
      <c r="L926" s="2">
        <v>504016</v>
      </c>
      <c r="M926" s="2" t="s">
        <v>52</v>
      </c>
      <c r="N926" s="2">
        <v>505837</v>
      </c>
      <c r="O926" t="s">
        <v>65</v>
      </c>
      <c r="P926">
        <v>3428546276</v>
      </c>
      <c r="Q926" s="2">
        <v>46052.699699074074</v>
      </c>
      <c r="R926" s="5" t="s">
        <v>54</v>
      </c>
      <c r="S926" s="2" t="s">
        <v>51</v>
      </c>
      <c r="T926" s="2" t="s">
        <v>55</v>
      </c>
      <c r="U926" s="2" t="s">
        <v>59</v>
      </c>
      <c r="V926" s="2" t="s">
        <v>57</v>
      </c>
      <c r="Y926" s="2">
        <v>806.96</v>
      </c>
      <c r="Z926" s="1">
        <v>806.96</v>
      </c>
      <c r="AA926" s="1">
        <v>29.99</v>
      </c>
      <c r="AB926" s="1">
        <v>29.99</v>
      </c>
      <c r="AC926" s="1">
        <v>0</v>
      </c>
      <c r="AD926" s="1">
        <v>106.46632</v>
      </c>
      <c r="AE926" s="1">
        <v>866.94</v>
      </c>
      <c r="AH926" s="1">
        <v>0</v>
      </c>
      <c r="AL926" s="1">
        <v>0</v>
      </c>
      <c r="AM926" s="1">
        <v>0</v>
      </c>
      <c r="AN926" s="1">
        <v>0</v>
      </c>
      <c r="AO926" s="1">
        <v>14.1218</v>
      </c>
      <c r="AP926" s="1">
        <v>1.977052</v>
      </c>
      <c r="AQ926" s="1">
        <v>707.85964999999999</v>
      </c>
      <c r="AR926" s="1">
        <v>707.85964999999999</v>
      </c>
      <c r="AS926" s="1">
        <v>176.96491</v>
      </c>
      <c r="AT926" s="2">
        <v>24.7750874</v>
      </c>
      <c r="AU926" s="1">
        <v>0</v>
      </c>
      <c r="AV926" s="1" t="s">
        <v>69</v>
      </c>
      <c r="AW926" s="1">
        <v>589.12099999999998</v>
      </c>
      <c r="AX926" s="1">
        <f>Table1[[#This Row],[Original Commissionable GMV]]-Table1[[#This Row],[Commission ]]-Table1[[#This Row],[Commission VAT]]-Table1[[#This Row],[FreeDeliveryFund]]</f>
        <v>506.11965259999994</v>
      </c>
    </row>
    <row r="927" spans="12:50" x14ac:dyDescent="0.25">
      <c r="L927" s="2">
        <v>504016</v>
      </c>
      <c r="M927" s="2" t="s">
        <v>52</v>
      </c>
      <c r="N927" s="2">
        <v>505839</v>
      </c>
      <c r="O927" t="s">
        <v>53</v>
      </c>
      <c r="P927">
        <v>3428603586</v>
      </c>
      <c r="Q927" s="2">
        <v>46052.71707175926</v>
      </c>
      <c r="R927" s="5" t="s">
        <v>54</v>
      </c>
      <c r="S927" s="2" t="s">
        <v>51</v>
      </c>
      <c r="T927" s="2" t="s">
        <v>55</v>
      </c>
      <c r="U927" s="2" t="s">
        <v>59</v>
      </c>
      <c r="V927" s="2" t="s">
        <v>57</v>
      </c>
      <c r="Y927" s="2">
        <v>767.99</v>
      </c>
      <c r="Z927" s="1">
        <v>767.99</v>
      </c>
      <c r="AA927" s="1">
        <v>32.99</v>
      </c>
      <c r="AB927" s="1">
        <v>29.99</v>
      </c>
      <c r="AC927" s="1">
        <v>0</v>
      </c>
      <c r="AD927" s="1">
        <v>102.04895</v>
      </c>
      <c r="AE927" s="1">
        <v>830.97</v>
      </c>
      <c r="AH927" s="1">
        <v>0</v>
      </c>
      <c r="AL927" s="1">
        <v>0</v>
      </c>
      <c r="AM927" s="1">
        <v>0</v>
      </c>
      <c r="AN927" s="1">
        <v>0</v>
      </c>
      <c r="AO927" s="1">
        <v>13.439825000000001</v>
      </c>
      <c r="AP927" s="1">
        <v>1.8815755000000001</v>
      </c>
      <c r="AQ927" s="1">
        <v>673.67543999999998</v>
      </c>
      <c r="AR927" s="1">
        <v>673.67543999999998</v>
      </c>
      <c r="AS927" s="1">
        <v>168.41886</v>
      </c>
      <c r="AT927" s="2">
        <v>23.578640400000001</v>
      </c>
      <c r="AU927" s="1">
        <v>0</v>
      </c>
      <c r="AV927" s="1" t="s">
        <v>69</v>
      </c>
      <c r="AW927" s="1">
        <v>560.67100000000005</v>
      </c>
      <c r="AX927" s="1">
        <f>Table1[[#This Row],[Original Commissionable GMV]]-Table1[[#This Row],[Commission ]]-Table1[[#This Row],[Commission VAT]]-Table1[[#This Row],[FreeDeliveryFund]]</f>
        <v>481.6779396</v>
      </c>
    </row>
    <row r="928" spans="12:50" x14ac:dyDescent="0.25">
      <c r="L928" s="2">
        <v>504016</v>
      </c>
      <c r="M928" s="2" t="s">
        <v>52</v>
      </c>
      <c r="N928" s="2">
        <v>505839</v>
      </c>
      <c r="O928" t="s">
        <v>53</v>
      </c>
      <c r="P928">
        <v>3428612846</v>
      </c>
      <c r="Q928" s="2">
        <v>46052.719826388886</v>
      </c>
      <c r="R928" s="5" t="s">
        <v>54</v>
      </c>
      <c r="S928" s="2" t="s">
        <v>51</v>
      </c>
      <c r="T928" s="2" t="s">
        <v>55</v>
      </c>
      <c r="U928" s="2" t="s">
        <v>59</v>
      </c>
      <c r="V928" s="2" t="s">
        <v>57</v>
      </c>
      <c r="Y928" s="2">
        <v>594.98</v>
      </c>
      <c r="Z928" s="1">
        <v>594.98</v>
      </c>
      <c r="AA928" s="1">
        <v>0</v>
      </c>
      <c r="AB928" s="1">
        <v>29.75</v>
      </c>
      <c r="AC928" s="1">
        <v>0</v>
      </c>
      <c r="AD928" s="1">
        <v>76.721230000000006</v>
      </c>
      <c r="AE928" s="1">
        <v>624.73</v>
      </c>
      <c r="AH928" s="1">
        <v>0</v>
      </c>
      <c r="AL928" s="1">
        <v>0</v>
      </c>
      <c r="AM928" s="1">
        <v>0</v>
      </c>
      <c r="AN928" s="1">
        <v>0</v>
      </c>
      <c r="AO928" s="1">
        <v>10.41215</v>
      </c>
      <c r="AP928" s="1">
        <v>1.4577009999999999</v>
      </c>
      <c r="AQ928" s="1">
        <v>521.91228000000001</v>
      </c>
      <c r="AR928" s="1">
        <v>521.91228000000001</v>
      </c>
      <c r="AS928" s="1">
        <v>130.47807</v>
      </c>
      <c r="AT928" s="2">
        <v>18.2669298</v>
      </c>
      <c r="AU928" s="1">
        <v>32.99</v>
      </c>
      <c r="AV928" s="1" t="s">
        <v>60</v>
      </c>
      <c r="AW928" s="1">
        <v>401.375</v>
      </c>
      <c r="AX928" s="1">
        <f>Table1[[#This Row],[Original Commissionable GMV]]-Table1[[#This Row],[Commission ]]-Table1[[#This Row],[Commission VAT]]-Table1[[#This Row],[FreeDeliveryFund]]</f>
        <v>340.17728019999998</v>
      </c>
    </row>
    <row r="929" spans="12:50" x14ac:dyDescent="0.25">
      <c r="L929" s="2">
        <v>504016</v>
      </c>
      <c r="M929" s="2" t="s">
        <v>52</v>
      </c>
      <c r="N929" s="2">
        <v>505837</v>
      </c>
      <c r="O929" t="s">
        <v>53</v>
      </c>
      <c r="P929">
        <v>3428622201</v>
      </c>
      <c r="Q929" s="2">
        <v>46052.722604166665</v>
      </c>
      <c r="R929" s="5" t="s">
        <v>54</v>
      </c>
      <c r="S929" s="2" t="s">
        <v>51</v>
      </c>
      <c r="T929" s="2" t="s">
        <v>55</v>
      </c>
      <c r="U929" s="2" t="s">
        <v>59</v>
      </c>
      <c r="V929" s="2" t="s">
        <v>57</v>
      </c>
      <c r="Y929" s="2">
        <v>889.94</v>
      </c>
      <c r="Z929" s="1">
        <v>889.94</v>
      </c>
      <c r="AA929" s="1">
        <v>0</v>
      </c>
      <c r="AB929" s="1">
        <v>29.99</v>
      </c>
      <c r="AC929" s="1">
        <v>0</v>
      </c>
      <c r="AD929" s="1">
        <v>112.97386</v>
      </c>
      <c r="AE929" s="1">
        <v>919.93</v>
      </c>
      <c r="AH929" s="1">
        <v>0</v>
      </c>
      <c r="AL929" s="1">
        <v>0</v>
      </c>
      <c r="AM929" s="1">
        <v>0</v>
      </c>
      <c r="AN929" s="1">
        <v>0</v>
      </c>
      <c r="AO929" s="1">
        <v>15.57395</v>
      </c>
      <c r="AP929" s="1">
        <v>2.1803530000000002</v>
      </c>
      <c r="AQ929" s="1">
        <v>780.64912000000004</v>
      </c>
      <c r="AR929" s="1">
        <v>780.64912000000004</v>
      </c>
      <c r="AS929" s="1">
        <v>195.16228000000001</v>
      </c>
      <c r="AT929" s="2">
        <v>27.322719200000002</v>
      </c>
      <c r="AU929" s="1">
        <v>32.99</v>
      </c>
      <c r="AV929" s="1" t="s">
        <v>60</v>
      </c>
      <c r="AW929" s="1">
        <v>616.71100000000001</v>
      </c>
      <c r="AX929" s="1">
        <f>Table1[[#This Row],[Original Commissionable GMV]]-Table1[[#This Row],[Commission ]]-Table1[[#This Row],[Commission VAT]]-Table1[[#This Row],[FreeDeliveryFund]]</f>
        <v>525.17412079999997</v>
      </c>
    </row>
    <row r="930" spans="12:50" x14ac:dyDescent="0.25">
      <c r="L930" s="2">
        <v>504016</v>
      </c>
      <c r="M930" s="2" t="s">
        <v>52</v>
      </c>
      <c r="N930" s="2">
        <v>505839</v>
      </c>
      <c r="O930" t="s">
        <v>63</v>
      </c>
      <c r="P930">
        <v>3428664422</v>
      </c>
      <c r="Q930" s="2">
        <v>46052.735173611109</v>
      </c>
      <c r="R930" s="5" t="s">
        <v>54</v>
      </c>
      <c r="S930" s="2" t="s">
        <v>51</v>
      </c>
      <c r="T930" s="2" t="s">
        <v>55</v>
      </c>
      <c r="U930" s="2" t="s">
        <v>56</v>
      </c>
      <c r="V930" s="2" t="s">
        <v>57</v>
      </c>
      <c r="Y930" s="2">
        <v>239.99</v>
      </c>
      <c r="Z930" s="1">
        <v>239.99</v>
      </c>
      <c r="AA930" s="1">
        <v>0</v>
      </c>
      <c r="AB930" s="1">
        <v>12</v>
      </c>
      <c r="AC930" s="1">
        <v>0</v>
      </c>
      <c r="AD930" s="1">
        <v>30.94614</v>
      </c>
      <c r="AE930" s="1">
        <v>251.99</v>
      </c>
      <c r="AH930" s="1">
        <v>0</v>
      </c>
      <c r="AL930" s="1">
        <v>0</v>
      </c>
      <c r="AM930" s="1">
        <v>0</v>
      </c>
      <c r="AN930" s="1">
        <v>0</v>
      </c>
      <c r="AO930" s="1">
        <v>4.1998249999999997</v>
      </c>
      <c r="AP930" s="1">
        <v>0.58797549999999998</v>
      </c>
      <c r="AQ930" s="1">
        <v>210.51754</v>
      </c>
      <c r="AR930" s="1">
        <v>210.51754</v>
      </c>
      <c r="AS930" s="1">
        <v>52.629390000000001</v>
      </c>
      <c r="AT930" s="2">
        <v>7.3681146000000002</v>
      </c>
      <c r="AU930" s="1">
        <v>29.99</v>
      </c>
      <c r="AV930" s="1" t="s">
        <v>60</v>
      </c>
      <c r="AW930" s="1">
        <v>145.215</v>
      </c>
      <c r="AX930" s="1">
        <f>Table1[[#This Row],[Original Commissionable GMV]]-Table1[[#This Row],[Commission ]]-Table1[[#This Row],[Commission VAT]]-Table1[[#This Row],[FreeDeliveryFund]]</f>
        <v>120.53003539999999</v>
      </c>
    </row>
    <row r="931" spans="12:50" x14ac:dyDescent="0.25">
      <c r="L931" s="2">
        <v>504016</v>
      </c>
      <c r="M931" s="2" t="s">
        <v>52</v>
      </c>
      <c r="N931" s="2">
        <v>505837</v>
      </c>
      <c r="O931" t="s">
        <v>53</v>
      </c>
      <c r="P931">
        <v>3428719495</v>
      </c>
      <c r="Q931" s="2">
        <v>46052.75136574074</v>
      </c>
      <c r="R931" s="5" t="s">
        <v>62</v>
      </c>
      <c r="S931" s="2" t="s">
        <v>51</v>
      </c>
      <c r="T931" s="2" t="s">
        <v>55</v>
      </c>
      <c r="U931" s="2" t="s">
        <v>59</v>
      </c>
      <c r="V931" s="2" t="s">
        <v>57</v>
      </c>
      <c r="Y931" s="2">
        <v>353.99</v>
      </c>
      <c r="Z931" s="1">
        <v>353.99</v>
      </c>
      <c r="AA931" s="1">
        <v>32.99</v>
      </c>
      <c r="AB931" s="1">
        <v>17.7</v>
      </c>
      <c r="AC931" s="1">
        <v>0</v>
      </c>
      <c r="AD931" s="1">
        <v>41.101050000000001</v>
      </c>
      <c r="AE931" s="1">
        <v>334.68</v>
      </c>
      <c r="AH931" s="1">
        <v>70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310.51754</v>
      </c>
      <c r="AR931" s="1">
        <v>310.51754</v>
      </c>
      <c r="AS931" s="1">
        <v>77.629390000000001</v>
      </c>
      <c r="AT931" s="2">
        <v>10.8681146</v>
      </c>
      <c r="AU931" s="1">
        <v>0</v>
      </c>
      <c r="AV931" s="1" t="s">
        <v>69</v>
      </c>
      <c r="AW931" s="1">
        <v>265.49200000000002</v>
      </c>
      <c r="AX931" s="1">
        <f>Table1[[#This Row],[Original Commissionable GMV]]-Table1[[#This Row],[Commission ]]-Table1[[#This Row],[Commission VAT]]-Table1[[#This Row],[FreeDeliveryFund]]</f>
        <v>222.02003539999998</v>
      </c>
    </row>
    <row r="932" spans="12:50" x14ac:dyDescent="0.25">
      <c r="L932" s="2">
        <v>504016</v>
      </c>
      <c r="M932" s="2" t="s">
        <v>52</v>
      </c>
      <c r="N932" s="2">
        <v>505835</v>
      </c>
      <c r="O932" t="s">
        <v>53</v>
      </c>
      <c r="P932">
        <v>3428728135</v>
      </c>
      <c r="Q932" s="2">
        <v>46052.753888888888</v>
      </c>
      <c r="R932" s="5" t="s">
        <v>62</v>
      </c>
      <c r="S932" s="2" t="s">
        <v>51</v>
      </c>
      <c r="T932" s="2" t="s">
        <v>55</v>
      </c>
      <c r="U932" s="2" t="s">
        <v>59</v>
      </c>
      <c r="V932" s="2" t="s">
        <v>57</v>
      </c>
      <c r="Y932" s="2">
        <v>897.99</v>
      </c>
      <c r="Z932" s="1">
        <v>897.99</v>
      </c>
      <c r="AA932" s="1">
        <v>0</v>
      </c>
      <c r="AB932" s="1">
        <v>29.99</v>
      </c>
      <c r="AC932" s="1">
        <v>0</v>
      </c>
      <c r="AD932" s="1">
        <v>113.96245999999999</v>
      </c>
      <c r="AE932" s="1">
        <v>927.98</v>
      </c>
      <c r="AH932" s="1">
        <v>0</v>
      </c>
      <c r="AL932" s="1">
        <v>0</v>
      </c>
      <c r="AM932" s="1">
        <v>30</v>
      </c>
      <c r="AN932" s="1">
        <v>4.2</v>
      </c>
      <c r="AO932" s="1">
        <v>0</v>
      </c>
      <c r="AP932" s="1">
        <v>0</v>
      </c>
      <c r="AQ932" s="1">
        <v>787.71052999999995</v>
      </c>
      <c r="AR932" s="1">
        <v>787.71052999999995</v>
      </c>
      <c r="AS932" s="1">
        <v>196.92762999999999</v>
      </c>
      <c r="AT932" s="2">
        <v>27.569868199999998</v>
      </c>
      <c r="AU932" s="1">
        <v>35.99</v>
      </c>
      <c r="AV932" s="1" t="s">
        <v>60</v>
      </c>
      <c r="AW932" s="1">
        <v>603.303</v>
      </c>
      <c r="AX932" s="1">
        <f>Table1[[#This Row],[Original Commissionable GMV]]-Table1[[#This Row],[Commission ]]-Table1[[#This Row],[Commission VAT]]-Table1[[#This Row],[FreeDeliveryFund]]</f>
        <v>527.22303179999994</v>
      </c>
    </row>
    <row r="933" spans="12:50" x14ac:dyDescent="0.25">
      <c r="L933" s="2">
        <v>504016</v>
      </c>
      <c r="M933" s="2" t="s">
        <v>52</v>
      </c>
      <c r="N933" s="2">
        <v>505837</v>
      </c>
      <c r="O933" t="s">
        <v>65</v>
      </c>
      <c r="P933">
        <v>3428763357</v>
      </c>
      <c r="Q933" s="2">
        <v>46052.763784722221</v>
      </c>
      <c r="R933" s="5" t="s">
        <v>62</v>
      </c>
      <c r="S933" s="2" t="s">
        <v>51</v>
      </c>
      <c r="T933" s="2" t="s">
        <v>55</v>
      </c>
      <c r="U933" s="2" t="s">
        <v>56</v>
      </c>
      <c r="V933" s="2" t="s">
        <v>57</v>
      </c>
      <c r="Y933" s="2">
        <v>352.99</v>
      </c>
      <c r="Z933" s="1">
        <v>352.99</v>
      </c>
      <c r="AA933" s="1">
        <v>0</v>
      </c>
      <c r="AB933" s="1">
        <v>17.649999999999999</v>
      </c>
      <c r="AC933" s="1">
        <v>0</v>
      </c>
      <c r="AD933" s="1">
        <v>45.517189999999999</v>
      </c>
      <c r="AE933" s="1">
        <v>370.64</v>
      </c>
      <c r="AH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309.64035000000001</v>
      </c>
      <c r="AR933" s="1">
        <v>309.64035000000001</v>
      </c>
      <c r="AS933" s="1">
        <v>77.410089999999997</v>
      </c>
      <c r="AT933" s="2">
        <v>10.8374126</v>
      </c>
      <c r="AU933" s="1">
        <v>28.99</v>
      </c>
      <c r="AV933" s="1" t="s">
        <v>60</v>
      </c>
      <c r="AW933" s="1">
        <v>235.75200000000001</v>
      </c>
      <c r="AX933" s="1">
        <f>Table1[[#This Row],[Original Commissionable GMV]]-Table1[[#This Row],[Commission ]]-Table1[[#This Row],[Commission VAT]]-Table1[[#This Row],[FreeDeliveryFund]]</f>
        <v>192.40284740000001</v>
      </c>
    </row>
    <row r="934" spans="12:50" x14ac:dyDescent="0.25">
      <c r="L934" s="2">
        <v>504016</v>
      </c>
      <c r="M934" s="2" t="s">
        <v>52</v>
      </c>
      <c r="N934" s="2">
        <v>505837</v>
      </c>
      <c r="O934" t="s">
        <v>63</v>
      </c>
      <c r="P934">
        <v>3428785964</v>
      </c>
      <c r="Q934" s="2">
        <v>46052.770092592589</v>
      </c>
      <c r="R934" s="5" t="s">
        <v>54</v>
      </c>
      <c r="S934" s="2" t="s">
        <v>51</v>
      </c>
      <c r="T934" s="2" t="s">
        <v>55</v>
      </c>
      <c r="U934" s="2" t="s">
        <v>56</v>
      </c>
      <c r="V934" s="2" t="s">
        <v>57</v>
      </c>
      <c r="Y934" s="2">
        <v>632.66999999999996</v>
      </c>
      <c r="Z934" s="1">
        <v>632.66999999999996</v>
      </c>
      <c r="AA934" s="1">
        <v>0</v>
      </c>
      <c r="AB934" s="1">
        <v>29.99</v>
      </c>
      <c r="AC934" s="1">
        <v>0</v>
      </c>
      <c r="AD934" s="1">
        <v>81.379300000000001</v>
      </c>
      <c r="AE934" s="1">
        <v>662.66</v>
      </c>
      <c r="AH934" s="1">
        <v>0</v>
      </c>
      <c r="AL934" s="1">
        <v>0</v>
      </c>
      <c r="AM934" s="1">
        <v>0</v>
      </c>
      <c r="AN934" s="1">
        <v>0</v>
      </c>
      <c r="AO934" s="1">
        <v>11.071725000000001</v>
      </c>
      <c r="AP934" s="1">
        <v>1.5500415000000001</v>
      </c>
      <c r="AQ934" s="1">
        <v>554.97367999999994</v>
      </c>
      <c r="AR934" s="1">
        <v>554.97367999999994</v>
      </c>
      <c r="AS934" s="1">
        <v>138.74341999999999</v>
      </c>
      <c r="AT934" s="2">
        <v>19.4240788</v>
      </c>
      <c r="AU934" s="1">
        <v>26.99</v>
      </c>
      <c r="AV934" s="1" t="s">
        <v>60</v>
      </c>
      <c r="AW934" s="1">
        <v>434.89100000000002</v>
      </c>
      <c r="AX934" s="1">
        <f>Table1[[#This Row],[Original Commissionable GMV]]-Table1[[#This Row],[Commission ]]-Table1[[#This Row],[Commission VAT]]-Table1[[#This Row],[FreeDeliveryFund]]</f>
        <v>369.8161811999999</v>
      </c>
    </row>
    <row r="935" spans="12:50" x14ac:dyDescent="0.25">
      <c r="L935" s="2">
        <v>504016</v>
      </c>
      <c r="M935" s="2" t="s">
        <v>52</v>
      </c>
      <c r="N935" s="2">
        <v>505835</v>
      </c>
      <c r="O935" t="s">
        <v>63</v>
      </c>
      <c r="P935">
        <v>3428818306</v>
      </c>
      <c r="Q935" s="2">
        <v>46052.779039351852</v>
      </c>
      <c r="R935" s="5" t="s">
        <v>54</v>
      </c>
      <c r="S935" s="2" t="s">
        <v>51</v>
      </c>
      <c r="T935" s="2" t="s">
        <v>55</v>
      </c>
      <c r="U935" s="2" t="s">
        <v>56</v>
      </c>
      <c r="V935" s="2" t="s">
        <v>57</v>
      </c>
      <c r="Y935" s="2">
        <v>398.99</v>
      </c>
      <c r="Z935" s="1">
        <v>398.99</v>
      </c>
      <c r="AA935" s="1">
        <v>26.99</v>
      </c>
      <c r="AB935" s="1">
        <v>19.95</v>
      </c>
      <c r="AC935" s="1">
        <v>0</v>
      </c>
      <c r="AD935" s="1">
        <v>54.763330000000003</v>
      </c>
      <c r="AE935" s="1">
        <v>445.93</v>
      </c>
      <c r="AH935" s="1">
        <v>0</v>
      </c>
      <c r="AL935" s="1">
        <v>0</v>
      </c>
      <c r="AM935" s="1">
        <v>0</v>
      </c>
      <c r="AN935" s="1">
        <v>0</v>
      </c>
      <c r="AO935" s="1">
        <v>6.9823250000000003</v>
      </c>
      <c r="AP935" s="1">
        <v>0.97752550000000005</v>
      </c>
      <c r="AQ935" s="1">
        <v>349.99122999999997</v>
      </c>
      <c r="AR935" s="1">
        <v>349.99122999999997</v>
      </c>
      <c r="AS935" s="1">
        <v>87.497810000000001</v>
      </c>
      <c r="AT935" s="2">
        <v>12.2496934</v>
      </c>
      <c r="AU935" s="1">
        <v>0</v>
      </c>
      <c r="AV935" s="1" t="s">
        <v>69</v>
      </c>
      <c r="AW935" s="1">
        <v>291.28300000000002</v>
      </c>
      <c r="AX935" s="1">
        <f>Table1[[#This Row],[Original Commissionable GMV]]-Table1[[#This Row],[Commission ]]-Table1[[#This Row],[Commission VAT]]-Table1[[#This Row],[FreeDeliveryFund]]</f>
        <v>250.24372659999995</v>
      </c>
    </row>
    <row r="936" spans="12:50" x14ac:dyDescent="0.25">
      <c r="L936" s="2">
        <v>504016</v>
      </c>
      <c r="M936" s="2" t="s">
        <v>52</v>
      </c>
      <c r="N936" s="2">
        <v>505837</v>
      </c>
      <c r="O936" t="s">
        <v>53</v>
      </c>
      <c r="P936">
        <v>3428894811</v>
      </c>
      <c r="Q936" s="2">
        <v>46052.800312500003</v>
      </c>
      <c r="R936" s="5" t="s">
        <v>54</v>
      </c>
      <c r="S936" s="2" t="s">
        <v>51</v>
      </c>
      <c r="T936" s="2" t="s">
        <v>55</v>
      </c>
      <c r="U936" s="2" t="s">
        <v>59</v>
      </c>
      <c r="V936" s="2" t="s">
        <v>57</v>
      </c>
      <c r="Y936" s="2">
        <v>1100.94</v>
      </c>
      <c r="Z936" s="1">
        <v>1100.94</v>
      </c>
      <c r="AA936" s="1">
        <v>29.99</v>
      </c>
      <c r="AB936" s="1">
        <v>29.99</v>
      </c>
      <c r="AC936" s="1">
        <v>0</v>
      </c>
      <c r="AD936" s="1">
        <v>142.56912</v>
      </c>
      <c r="AE936" s="1">
        <v>1160.92</v>
      </c>
      <c r="AH936" s="1">
        <v>0</v>
      </c>
      <c r="AL936" s="1">
        <v>0</v>
      </c>
      <c r="AM936" s="1">
        <v>0</v>
      </c>
      <c r="AN936" s="1">
        <v>0</v>
      </c>
      <c r="AO936" s="1">
        <v>19.266449999999999</v>
      </c>
      <c r="AP936" s="1">
        <v>2.6973029999999998</v>
      </c>
      <c r="AQ936" s="1">
        <v>965.73684000000003</v>
      </c>
      <c r="AR936" s="1">
        <v>965.73684000000003</v>
      </c>
      <c r="AS936" s="1">
        <v>241.43421000000001</v>
      </c>
      <c r="AT936" s="2">
        <v>33.800789399999999</v>
      </c>
      <c r="AU936" s="1">
        <v>0</v>
      </c>
      <c r="AV936" s="1" t="s">
        <v>69</v>
      </c>
      <c r="AW936" s="1">
        <v>803.74099999999999</v>
      </c>
      <c r="AX936" s="1">
        <f>Table1[[#This Row],[Original Commissionable GMV]]-Table1[[#This Row],[Commission ]]-Table1[[#This Row],[Commission VAT]]-Table1[[#This Row],[FreeDeliveryFund]]</f>
        <v>690.50184060000004</v>
      </c>
    </row>
    <row r="937" spans="12:50" x14ac:dyDescent="0.25">
      <c r="L937" s="2">
        <v>504016</v>
      </c>
      <c r="M937" s="2" t="s">
        <v>52</v>
      </c>
      <c r="N937" s="2">
        <v>505839</v>
      </c>
      <c r="O937" t="s">
        <v>63</v>
      </c>
      <c r="P937">
        <v>3428964556</v>
      </c>
      <c r="Q937" s="2">
        <v>46052.820069444446</v>
      </c>
      <c r="R937" s="5" t="s">
        <v>62</v>
      </c>
      <c r="S937" s="2" t="s">
        <v>51</v>
      </c>
      <c r="T937" s="2" t="s">
        <v>55</v>
      </c>
      <c r="U937" s="2" t="s">
        <v>59</v>
      </c>
      <c r="V937" s="2" t="s">
        <v>57</v>
      </c>
      <c r="Y937" s="2">
        <v>352</v>
      </c>
      <c r="Z937" s="1">
        <v>352</v>
      </c>
      <c r="AA937" s="1">
        <v>7</v>
      </c>
      <c r="AB937" s="1">
        <v>17.600000000000001</v>
      </c>
      <c r="AC937" s="1">
        <v>0</v>
      </c>
      <c r="AD937" s="1">
        <v>46.249119999999998</v>
      </c>
      <c r="AE937" s="1">
        <v>376.6</v>
      </c>
      <c r="AH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308.77193</v>
      </c>
      <c r="AR937" s="1">
        <v>308.77193</v>
      </c>
      <c r="AS937" s="1">
        <v>77.192980000000006</v>
      </c>
      <c r="AT937" s="2">
        <v>10.807017200000001</v>
      </c>
      <c r="AU937" s="1">
        <v>29.99</v>
      </c>
      <c r="AV937" s="1" t="s">
        <v>60</v>
      </c>
      <c r="AW937" s="1">
        <v>234.01</v>
      </c>
      <c r="AX937" s="1">
        <f>Table1[[#This Row],[Original Commissionable GMV]]-Table1[[#This Row],[Commission ]]-Table1[[#This Row],[Commission VAT]]-Table1[[#This Row],[FreeDeliveryFund]]</f>
        <v>190.78193279999999</v>
      </c>
    </row>
    <row r="938" spans="12:50" x14ac:dyDescent="0.25">
      <c r="L938" s="2">
        <v>504016</v>
      </c>
      <c r="M938" s="2" t="s">
        <v>52</v>
      </c>
      <c r="N938" s="2">
        <v>505839</v>
      </c>
      <c r="O938" t="s">
        <v>53</v>
      </c>
      <c r="P938">
        <v>3429000705</v>
      </c>
      <c r="Q938" s="2">
        <v>46052.83048611111</v>
      </c>
      <c r="R938" s="5" t="s">
        <v>54</v>
      </c>
      <c r="S938" s="2" t="s">
        <v>51</v>
      </c>
      <c r="T938" s="2" t="s">
        <v>55</v>
      </c>
      <c r="U938" s="2" t="s">
        <v>59</v>
      </c>
      <c r="V938" s="2" t="s">
        <v>57</v>
      </c>
      <c r="Y938" s="2">
        <v>1898.25</v>
      </c>
      <c r="Z938" s="1">
        <v>1898.25</v>
      </c>
      <c r="AA938" s="1">
        <v>0</v>
      </c>
      <c r="AB938" s="1">
        <v>29.99</v>
      </c>
      <c r="AC938" s="1">
        <v>0</v>
      </c>
      <c r="AD938" s="1">
        <v>236.8014</v>
      </c>
      <c r="AE938" s="1">
        <v>1928.24</v>
      </c>
      <c r="AF938" s="1">
        <v>2250.1001000000001</v>
      </c>
      <c r="AH938" s="1">
        <v>0</v>
      </c>
      <c r="AL938" s="1">
        <v>0</v>
      </c>
      <c r="AM938" s="1">
        <v>0</v>
      </c>
      <c r="AN938" s="1">
        <v>0</v>
      </c>
      <c r="AO938" s="1">
        <v>33.376874999999998</v>
      </c>
      <c r="AP938" s="1">
        <v>4.6727625000000002</v>
      </c>
      <c r="AQ938" s="1">
        <v>1939.5701799999999</v>
      </c>
      <c r="AR938" s="1">
        <v>1939.5701799999999</v>
      </c>
      <c r="AS938" s="1">
        <v>484.89255000000003</v>
      </c>
      <c r="AT938" s="2">
        <v>67.884957</v>
      </c>
      <c r="AU938" s="1">
        <v>31.99</v>
      </c>
      <c r="AV938" s="1" t="s">
        <v>60</v>
      </c>
      <c r="AW938" s="1">
        <v>1275.433</v>
      </c>
      <c r="AX938" s="1">
        <f>Table1[[#This Row],[Original Commissionable GMV]]-Table1[[#This Row],[Commission ]]-Table1[[#This Row],[Commission VAT]]-Table1[[#This Row],[FreeDeliveryFund]]</f>
        <v>1354.8026729999999</v>
      </c>
    </row>
    <row r="939" spans="12:50" x14ac:dyDescent="0.25">
      <c r="L939" s="2">
        <v>504016</v>
      </c>
      <c r="M939" s="2" t="s">
        <v>52</v>
      </c>
      <c r="N939" s="2">
        <v>505835</v>
      </c>
      <c r="O939" t="s">
        <v>65</v>
      </c>
      <c r="P939">
        <v>3429029344</v>
      </c>
      <c r="Q939" s="2">
        <v>46052.83898148148</v>
      </c>
      <c r="R939" s="5" t="s">
        <v>54</v>
      </c>
      <c r="S939" s="2" t="s">
        <v>51</v>
      </c>
      <c r="T939" s="2" t="s">
        <v>55</v>
      </c>
      <c r="U939" s="2" t="s">
        <v>56</v>
      </c>
      <c r="V939" s="2" t="s">
        <v>57</v>
      </c>
      <c r="Y939" s="2">
        <v>258</v>
      </c>
      <c r="Z939" s="1">
        <v>258</v>
      </c>
      <c r="AA939" s="1">
        <v>0</v>
      </c>
      <c r="AB939" s="1">
        <v>12.9</v>
      </c>
      <c r="AC939" s="1">
        <v>0</v>
      </c>
      <c r="AD939" s="1">
        <v>33.268419999999999</v>
      </c>
      <c r="AE939" s="1">
        <v>270.89999999999998</v>
      </c>
      <c r="AH939" s="1">
        <v>0</v>
      </c>
      <c r="AL939" s="1">
        <v>0</v>
      </c>
      <c r="AM939" s="1">
        <v>0</v>
      </c>
      <c r="AN939" s="1">
        <v>0</v>
      </c>
      <c r="AO939" s="1">
        <v>4.5149999999999997</v>
      </c>
      <c r="AP939" s="1">
        <v>0.6321</v>
      </c>
      <c r="AQ939" s="1">
        <v>226.31578999999999</v>
      </c>
      <c r="AR939" s="1">
        <v>226.31578999999999</v>
      </c>
      <c r="AS939" s="1">
        <v>56.578949999999999</v>
      </c>
      <c r="AT939" s="2">
        <v>7.9210529999999997</v>
      </c>
      <c r="AU939" s="1">
        <v>27.99</v>
      </c>
      <c r="AV939" s="1" t="s">
        <v>60</v>
      </c>
      <c r="AW939" s="1">
        <v>160.363</v>
      </c>
      <c r="AX939" s="1">
        <f>Table1[[#This Row],[Original Commissionable GMV]]-Table1[[#This Row],[Commission ]]-Table1[[#This Row],[Commission VAT]]-Table1[[#This Row],[FreeDeliveryFund]]</f>
        <v>133.82578699999999</v>
      </c>
    </row>
    <row r="940" spans="12:50" x14ac:dyDescent="0.25">
      <c r="L940" s="2">
        <v>504016</v>
      </c>
      <c r="M940" s="2" t="s">
        <v>52</v>
      </c>
      <c r="N940" s="2">
        <v>505839</v>
      </c>
      <c r="O940" t="s">
        <v>53</v>
      </c>
      <c r="P940">
        <v>3429044136</v>
      </c>
      <c r="Q940" s="2">
        <v>46052.843356481484</v>
      </c>
      <c r="R940" s="5" t="s">
        <v>54</v>
      </c>
      <c r="S940" s="2" t="s">
        <v>51</v>
      </c>
      <c r="T940" s="2" t="s">
        <v>55</v>
      </c>
      <c r="U940" s="2" t="s">
        <v>59</v>
      </c>
      <c r="V940" s="2" t="s">
        <v>57</v>
      </c>
      <c r="Y940" s="2">
        <v>717.98</v>
      </c>
      <c r="Z940" s="1">
        <v>717.98</v>
      </c>
      <c r="AA940" s="1">
        <v>0</v>
      </c>
      <c r="AB940" s="1">
        <v>29.99</v>
      </c>
      <c r="AC940" s="1">
        <v>0</v>
      </c>
      <c r="AD940" s="1">
        <v>91.855959999999996</v>
      </c>
      <c r="AE940" s="1">
        <v>747.97</v>
      </c>
      <c r="AH940" s="1">
        <v>0</v>
      </c>
      <c r="AL940" s="1">
        <v>0</v>
      </c>
      <c r="AM940" s="1">
        <v>0</v>
      </c>
      <c r="AN940" s="1">
        <v>0</v>
      </c>
      <c r="AO940" s="1">
        <v>12.56465</v>
      </c>
      <c r="AP940" s="1">
        <v>1.7590509999999999</v>
      </c>
      <c r="AQ940" s="1">
        <v>629.80701999999997</v>
      </c>
      <c r="AR940" s="1">
        <v>629.80701999999997</v>
      </c>
      <c r="AS940" s="1">
        <v>157.45176000000001</v>
      </c>
      <c r="AT940" s="2">
        <v>22.043246400000001</v>
      </c>
      <c r="AU940" s="1">
        <v>31.99</v>
      </c>
      <c r="AV940" s="1" t="s">
        <v>60</v>
      </c>
      <c r="AW940" s="1">
        <v>492.17099999999999</v>
      </c>
      <c r="AX940" s="1">
        <f>Table1[[#This Row],[Original Commissionable GMV]]-Table1[[#This Row],[Commission ]]-Table1[[#This Row],[Commission VAT]]-Table1[[#This Row],[FreeDeliveryFund]]</f>
        <v>418.32201359999993</v>
      </c>
    </row>
    <row r="941" spans="12:50" x14ac:dyDescent="0.25">
      <c r="L941" s="2">
        <v>504016</v>
      </c>
      <c r="M941" s="2" t="s">
        <v>52</v>
      </c>
      <c r="N941" s="2">
        <v>505837</v>
      </c>
      <c r="O941" t="s">
        <v>53</v>
      </c>
      <c r="P941">
        <v>3429058237</v>
      </c>
      <c r="Q941" s="2">
        <v>46052.847604166665</v>
      </c>
      <c r="R941" s="5" t="s">
        <v>66</v>
      </c>
      <c r="S941" s="2" t="s">
        <v>51</v>
      </c>
      <c r="T941" s="2" t="s">
        <v>55</v>
      </c>
      <c r="U941" s="2" t="s">
        <v>56</v>
      </c>
      <c r="V941" s="2" t="s">
        <v>57</v>
      </c>
      <c r="Y941" s="2">
        <v>731.65</v>
      </c>
      <c r="Z941" s="1">
        <v>731.65</v>
      </c>
      <c r="AA941" s="1">
        <v>31.99</v>
      </c>
      <c r="AB941" s="1">
        <v>29.99</v>
      </c>
      <c r="AC941" s="1">
        <v>0</v>
      </c>
      <c r="AD941" s="1">
        <v>97.463329999999999</v>
      </c>
      <c r="AE941" s="1">
        <v>793.63</v>
      </c>
      <c r="AH941" s="1">
        <v>0</v>
      </c>
      <c r="AL941" s="1">
        <v>0</v>
      </c>
      <c r="AM941" s="1">
        <v>30</v>
      </c>
      <c r="AN941" s="1">
        <v>4.2</v>
      </c>
      <c r="AO941" s="1">
        <v>12.803875</v>
      </c>
      <c r="AP941" s="1">
        <v>1.7925424999999999</v>
      </c>
      <c r="AQ941" s="1">
        <v>641.79825000000005</v>
      </c>
      <c r="AR941" s="1">
        <v>641.79825000000005</v>
      </c>
      <c r="AS941" s="1">
        <v>160.44955999999999</v>
      </c>
      <c r="AT941" s="2">
        <v>22.462938399999999</v>
      </c>
      <c r="AU941" s="1">
        <v>0</v>
      </c>
      <c r="AV941" s="1" t="s">
        <v>69</v>
      </c>
      <c r="AW941" s="1">
        <v>499.94099999999997</v>
      </c>
      <c r="AX941" s="1">
        <f>Table1[[#This Row],[Original Commissionable GMV]]-Table1[[#This Row],[Commission ]]-Table1[[#This Row],[Commission VAT]]-Table1[[#This Row],[FreeDeliveryFund]]</f>
        <v>458.88575160000005</v>
      </c>
    </row>
    <row r="942" spans="12:50" x14ac:dyDescent="0.25">
      <c r="L942" s="2">
        <v>504016</v>
      </c>
      <c r="M942" s="2" t="s">
        <v>52</v>
      </c>
      <c r="N942" s="2">
        <v>505839</v>
      </c>
      <c r="O942" t="s">
        <v>63</v>
      </c>
      <c r="P942">
        <v>3429136335</v>
      </c>
      <c r="Q942" s="2">
        <v>46052.872418981482</v>
      </c>
      <c r="R942" s="5" t="s">
        <v>54</v>
      </c>
      <c r="S942" s="2" t="s">
        <v>51</v>
      </c>
      <c r="T942" s="2" t="s">
        <v>55</v>
      </c>
      <c r="U942" s="2" t="s">
        <v>59</v>
      </c>
      <c r="V942" s="2" t="s">
        <v>57</v>
      </c>
      <c r="Y942" s="2">
        <v>769.99</v>
      </c>
      <c r="Z942" s="1">
        <v>769.99</v>
      </c>
      <c r="AA942" s="1">
        <v>0</v>
      </c>
      <c r="AB942" s="1">
        <v>29.99</v>
      </c>
      <c r="AC942" s="1">
        <v>0</v>
      </c>
      <c r="AD942" s="1">
        <v>98.243160000000003</v>
      </c>
      <c r="AE942" s="1">
        <v>799.98</v>
      </c>
      <c r="AH942" s="1">
        <v>0</v>
      </c>
      <c r="AL942" s="1">
        <v>0</v>
      </c>
      <c r="AM942" s="1">
        <v>30</v>
      </c>
      <c r="AN942" s="1">
        <v>4.2</v>
      </c>
      <c r="AO942" s="1">
        <v>13.474824999999999</v>
      </c>
      <c r="AP942" s="1">
        <v>1.8864755</v>
      </c>
      <c r="AQ942" s="1">
        <v>675.42981999999995</v>
      </c>
      <c r="AR942" s="1">
        <v>675.42981999999995</v>
      </c>
      <c r="AS942" s="1">
        <v>168.85746</v>
      </c>
      <c r="AT942" s="2">
        <v>23.640044400000001</v>
      </c>
      <c r="AU942" s="1">
        <v>29.99</v>
      </c>
      <c r="AV942" s="1" t="s">
        <v>60</v>
      </c>
      <c r="AW942" s="1">
        <v>497.94099999999997</v>
      </c>
      <c r="AX942" s="1">
        <f>Table1[[#This Row],[Original Commissionable GMV]]-Table1[[#This Row],[Commission ]]-Table1[[#This Row],[Commission VAT]]-Table1[[#This Row],[FreeDeliveryFund]]</f>
        <v>452.94231559999992</v>
      </c>
    </row>
    <row r="943" spans="12:50" x14ac:dyDescent="0.25">
      <c r="L943" s="2">
        <v>504016</v>
      </c>
      <c r="M943" s="2" t="s">
        <v>52</v>
      </c>
      <c r="N943" s="2">
        <v>505839</v>
      </c>
      <c r="O943" t="s">
        <v>63</v>
      </c>
      <c r="P943">
        <v>3429280328</v>
      </c>
      <c r="Q943" s="2">
        <v>46052.924907407411</v>
      </c>
      <c r="R943" s="5" t="s">
        <v>54</v>
      </c>
      <c r="S943" s="2" t="s">
        <v>51</v>
      </c>
      <c r="T943" s="2" t="s">
        <v>55</v>
      </c>
      <c r="U943" s="2" t="s">
        <v>59</v>
      </c>
      <c r="V943" s="2" t="s">
        <v>57</v>
      </c>
      <c r="Y943" s="2">
        <v>471.57</v>
      </c>
      <c r="Z943" s="1">
        <v>471.57</v>
      </c>
      <c r="AA943" s="1">
        <v>0</v>
      </c>
      <c r="AB943" s="1">
        <v>23.58</v>
      </c>
      <c r="AC943" s="1">
        <v>0</v>
      </c>
      <c r="AD943" s="1">
        <v>60.80789</v>
      </c>
      <c r="AE943" s="1">
        <v>495.15</v>
      </c>
      <c r="AH943" s="1">
        <v>0</v>
      </c>
      <c r="AL943" s="1">
        <v>0</v>
      </c>
      <c r="AM943" s="1">
        <v>0</v>
      </c>
      <c r="AN943" s="1">
        <v>0</v>
      </c>
      <c r="AO943" s="1">
        <v>8.2524750000000004</v>
      </c>
      <c r="AP943" s="1">
        <v>1.1553465000000001</v>
      </c>
      <c r="AQ943" s="1">
        <v>413.65789000000001</v>
      </c>
      <c r="AR943" s="1">
        <v>413.65789000000001</v>
      </c>
      <c r="AS943" s="1">
        <v>103.41446999999999</v>
      </c>
      <c r="AT943" s="2">
        <v>14.478025799999999</v>
      </c>
      <c r="AU943" s="1">
        <v>28.99</v>
      </c>
      <c r="AV943" s="1" t="s">
        <v>60</v>
      </c>
      <c r="AW943" s="1">
        <v>315.27999999999997</v>
      </c>
      <c r="AX943" s="1">
        <f>Table1[[#This Row],[Original Commissionable GMV]]-Table1[[#This Row],[Commission ]]-Table1[[#This Row],[Commission VAT]]-Table1[[#This Row],[FreeDeliveryFund]]</f>
        <v>266.77539419999999</v>
      </c>
    </row>
    <row r="944" spans="12:50" x14ac:dyDescent="0.25">
      <c r="L944" s="2">
        <v>504016</v>
      </c>
      <c r="M944" s="2" t="s">
        <v>52</v>
      </c>
      <c r="N944" s="2">
        <v>505839</v>
      </c>
      <c r="O944" t="s">
        <v>53</v>
      </c>
      <c r="P944">
        <v>3429302618</v>
      </c>
      <c r="Q944" s="2">
        <v>46052.934189814812</v>
      </c>
      <c r="R944" s="5" t="s">
        <v>54</v>
      </c>
      <c r="S944" s="2" t="s">
        <v>51</v>
      </c>
      <c r="T944" s="2" t="s">
        <v>55</v>
      </c>
      <c r="U944" s="2" t="s">
        <v>59</v>
      </c>
      <c r="V944" s="2" t="s">
        <v>57</v>
      </c>
      <c r="Y944" s="2">
        <v>753.84</v>
      </c>
      <c r="Z944" s="1">
        <v>753.84</v>
      </c>
      <c r="AA944" s="1">
        <v>9</v>
      </c>
      <c r="AB944" s="1">
        <v>29.99</v>
      </c>
      <c r="AC944" s="1">
        <v>0</v>
      </c>
      <c r="AD944" s="1">
        <v>97.365089999999995</v>
      </c>
      <c r="AE944" s="1">
        <v>792.83</v>
      </c>
      <c r="AH944" s="1">
        <v>0</v>
      </c>
      <c r="AL944" s="1">
        <v>0</v>
      </c>
      <c r="AM944" s="1">
        <v>30</v>
      </c>
      <c r="AN944" s="1">
        <v>4.2</v>
      </c>
      <c r="AO944" s="1">
        <v>13.1922</v>
      </c>
      <c r="AP944" s="1">
        <v>1.846908</v>
      </c>
      <c r="AQ944" s="1">
        <v>661.26315999999997</v>
      </c>
      <c r="AR944" s="1">
        <v>661.26315999999997</v>
      </c>
      <c r="AS944" s="1">
        <v>165.31578999999999</v>
      </c>
      <c r="AT944" s="2">
        <v>23.144210600000001</v>
      </c>
      <c r="AU944" s="1">
        <v>31.99</v>
      </c>
      <c r="AV944" s="1" t="s">
        <v>60</v>
      </c>
      <c r="AW944" s="1">
        <v>484.15100000000001</v>
      </c>
      <c r="AX944" s="1">
        <f>Table1[[#This Row],[Original Commissionable GMV]]-Table1[[#This Row],[Commission ]]-Table1[[#This Row],[Commission VAT]]-Table1[[#This Row],[FreeDeliveryFund]]</f>
        <v>440.81315939999996</v>
      </c>
    </row>
    <row r="945" spans="12:50" x14ac:dyDescent="0.25">
      <c r="L945" s="2">
        <v>504016</v>
      </c>
      <c r="M945" s="2" t="s">
        <v>52</v>
      </c>
      <c r="N945" s="2">
        <v>505837</v>
      </c>
      <c r="O945" t="s">
        <v>63</v>
      </c>
      <c r="P945">
        <v>3429313706</v>
      </c>
      <c r="Q945" s="2">
        <v>46052.938993055555</v>
      </c>
      <c r="R945" s="5" t="s">
        <v>54</v>
      </c>
      <c r="S945" s="2" t="s">
        <v>51</v>
      </c>
      <c r="T945" s="2" t="s">
        <v>55</v>
      </c>
      <c r="U945" s="2" t="s">
        <v>56</v>
      </c>
      <c r="V945" s="2" t="s">
        <v>57</v>
      </c>
      <c r="Y945" s="2">
        <v>516.99</v>
      </c>
      <c r="Z945" s="1">
        <v>516.99</v>
      </c>
      <c r="AA945" s="1">
        <v>29.99</v>
      </c>
      <c r="AB945" s="1">
        <v>25.85</v>
      </c>
      <c r="AC945" s="1">
        <v>0</v>
      </c>
      <c r="AD945" s="1">
        <v>70.347539999999995</v>
      </c>
      <c r="AE945" s="1">
        <v>572.83000000000004</v>
      </c>
      <c r="AH945" s="1">
        <v>0</v>
      </c>
      <c r="AL945" s="1">
        <v>0</v>
      </c>
      <c r="AM945" s="1">
        <v>0</v>
      </c>
      <c r="AN945" s="1">
        <v>0</v>
      </c>
      <c r="AO945" s="1">
        <v>9.0473250000000007</v>
      </c>
      <c r="AP945" s="1">
        <v>1.2666255</v>
      </c>
      <c r="AQ945" s="1">
        <v>453.5</v>
      </c>
      <c r="AR945" s="1">
        <v>453.5</v>
      </c>
      <c r="AS945" s="1">
        <v>113.375</v>
      </c>
      <c r="AT945" s="2">
        <v>15.8725</v>
      </c>
      <c r="AU945" s="1">
        <v>0</v>
      </c>
      <c r="AV945" s="1" t="s">
        <v>69</v>
      </c>
      <c r="AW945" s="1">
        <v>377.42899999999997</v>
      </c>
      <c r="AX945" s="1">
        <f>Table1[[#This Row],[Original Commissionable GMV]]-Table1[[#This Row],[Commission ]]-Table1[[#This Row],[Commission VAT]]-Table1[[#This Row],[FreeDeliveryFund]]</f>
        <v>324.2525</v>
      </c>
    </row>
    <row r="946" spans="12:50" x14ac:dyDescent="0.25">
      <c r="L946" s="2">
        <v>504016</v>
      </c>
      <c r="M946" s="2" t="s">
        <v>52</v>
      </c>
      <c r="N946" s="2">
        <v>505837</v>
      </c>
      <c r="O946" t="s">
        <v>53</v>
      </c>
      <c r="P946">
        <v>3429378677</v>
      </c>
      <c r="Q946" s="2">
        <v>46052.970312500001</v>
      </c>
      <c r="R946" s="5" t="s">
        <v>54</v>
      </c>
      <c r="S946" s="2" t="s">
        <v>51</v>
      </c>
      <c r="T946" s="2" t="s">
        <v>55</v>
      </c>
      <c r="U946" s="2" t="s">
        <v>59</v>
      </c>
      <c r="V946" s="2" t="s">
        <v>57</v>
      </c>
      <c r="Y946" s="2">
        <v>250</v>
      </c>
      <c r="Z946" s="1">
        <v>250</v>
      </c>
      <c r="AA946" s="1">
        <v>0</v>
      </c>
      <c r="AB946" s="1">
        <v>12.5</v>
      </c>
      <c r="AC946" s="1">
        <v>0</v>
      </c>
      <c r="AD946" s="1">
        <v>32.236840000000001</v>
      </c>
      <c r="AE946" s="1">
        <v>262.5</v>
      </c>
      <c r="AH946" s="1">
        <v>0</v>
      </c>
      <c r="AL946" s="1">
        <v>0</v>
      </c>
      <c r="AM946" s="1">
        <v>0</v>
      </c>
      <c r="AN946" s="1">
        <v>0</v>
      </c>
      <c r="AO946" s="1">
        <v>4.375</v>
      </c>
      <c r="AP946" s="1">
        <v>0.61250000000000004</v>
      </c>
      <c r="AQ946" s="1">
        <v>219.29825</v>
      </c>
      <c r="AR946" s="1">
        <v>219.29825</v>
      </c>
      <c r="AS946" s="1">
        <v>54.824559999999998</v>
      </c>
      <c r="AT946" s="2">
        <v>7.6754384</v>
      </c>
      <c r="AU946" s="1">
        <v>34.99</v>
      </c>
      <c r="AV946" s="1" t="s">
        <v>60</v>
      </c>
      <c r="AW946" s="1">
        <v>147.523</v>
      </c>
      <c r="AX946" s="1">
        <f>Table1[[#This Row],[Original Commissionable GMV]]-Table1[[#This Row],[Commission ]]-Table1[[#This Row],[Commission VAT]]-Table1[[#This Row],[FreeDeliveryFund]]</f>
        <v>121.80825160000001</v>
      </c>
    </row>
    <row r="947" spans="12:50" x14ac:dyDescent="0.25">
      <c r="L947" s="2">
        <v>504016</v>
      </c>
      <c r="M947" s="2" t="s">
        <v>52</v>
      </c>
      <c r="N947" s="2">
        <v>505837</v>
      </c>
      <c r="O947" t="s">
        <v>53</v>
      </c>
      <c r="P947">
        <v>3429392485</v>
      </c>
      <c r="Q947" s="2">
        <v>46052.977685185186</v>
      </c>
      <c r="R947" s="5" t="s">
        <v>62</v>
      </c>
      <c r="S947" s="2" t="s">
        <v>51</v>
      </c>
      <c r="T947" s="2" t="s">
        <v>55</v>
      </c>
      <c r="U947" s="2" t="s">
        <v>56</v>
      </c>
      <c r="V947" s="2" t="s">
        <v>57</v>
      </c>
      <c r="Y947" s="2">
        <v>447.18</v>
      </c>
      <c r="Z947" s="1">
        <v>447.18</v>
      </c>
      <c r="AA947" s="1">
        <v>32.99</v>
      </c>
      <c r="AB947" s="1">
        <v>22.36</v>
      </c>
      <c r="AC947" s="1">
        <v>0</v>
      </c>
      <c r="AD947" s="1">
        <v>61.714210000000001</v>
      </c>
      <c r="AE947" s="1">
        <v>502.53</v>
      </c>
      <c r="AH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392.26316000000003</v>
      </c>
      <c r="AR947" s="1">
        <v>392.26316000000003</v>
      </c>
      <c r="AS947" s="1">
        <v>98.065790000000007</v>
      </c>
      <c r="AT947" s="2">
        <v>13.7292106</v>
      </c>
      <c r="AU947" s="1">
        <v>0</v>
      </c>
      <c r="AV947" s="1" t="s">
        <v>69</v>
      </c>
      <c r="AW947" s="1">
        <v>335.38499999999999</v>
      </c>
      <c r="AX947" s="1">
        <f>Table1[[#This Row],[Original Commissionable GMV]]-Table1[[#This Row],[Commission ]]-Table1[[#This Row],[Commission VAT]]-Table1[[#This Row],[FreeDeliveryFund]]</f>
        <v>280.46815940000005</v>
      </c>
    </row>
    <row r="948" spans="12:50" x14ac:dyDescent="0.25">
      <c r="L948" s="2">
        <v>504016</v>
      </c>
      <c r="M948" s="2" t="s">
        <v>52</v>
      </c>
      <c r="N948" s="2">
        <v>505837</v>
      </c>
      <c r="O948" t="s">
        <v>63</v>
      </c>
      <c r="P948">
        <v>3430078964</v>
      </c>
      <c r="Q948" s="2">
        <v>46053.554502314815</v>
      </c>
      <c r="R948" s="5" t="s">
        <v>66</v>
      </c>
      <c r="S948" s="2" t="s">
        <v>51</v>
      </c>
      <c r="T948" s="2" t="s">
        <v>55</v>
      </c>
      <c r="U948" s="2" t="s">
        <v>56</v>
      </c>
      <c r="V948" s="2" t="s">
        <v>57</v>
      </c>
      <c r="Y948" s="2">
        <v>411.99</v>
      </c>
      <c r="Z948" s="1">
        <v>411.99</v>
      </c>
      <c r="AA948" s="1">
        <v>0</v>
      </c>
      <c r="AB948" s="1">
        <v>20.6</v>
      </c>
      <c r="AC948" s="1">
        <v>0</v>
      </c>
      <c r="AD948" s="1">
        <v>53.12509</v>
      </c>
      <c r="AE948" s="1">
        <v>432.59</v>
      </c>
      <c r="AH948" s="1">
        <v>0</v>
      </c>
      <c r="AL948" s="1">
        <v>0</v>
      </c>
      <c r="AM948" s="1">
        <v>0</v>
      </c>
      <c r="AN948" s="1">
        <v>0</v>
      </c>
      <c r="AO948" s="1">
        <v>7.2098250000000004</v>
      </c>
      <c r="AP948" s="1">
        <v>1.0093755</v>
      </c>
      <c r="AQ948" s="1">
        <v>361.39474000000001</v>
      </c>
      <c r="AR948" s="1">
        <v>361.39474000000001</v>
      </c>
      <c r="AS948" s="1">
        <v>90.348690000000005</v>
      </c>
      <c r="AT948" s="2">
        <v>12.6488166</v>
      </c>
      <c r="AU948" s="1">
        <v>29.99</v>
      </c>
      <c r="AV948" s="1" t="s">
        <v>60</v>
      </c>
      <c r="AW948" s="1">
        <v>270.78300000000002</v>
      </c>
      <c r="AX948" s="1">
        <f>Table1[[#This Row],[Original Commissionable GMV]]-Table1[[#This Row],[Commission ]]-Table1[[#This Row],[Commission VAT]]-Table1[[#This Row],[FreeDeliveryFund]]</f>
        <v>228.40723340000005</v>
      </c>
    </row>
    <row r="949" spans="12:50" x14ac:dyDescent="0.25">
      <c r="L949" s="2">
        <v>504016</v>
      </c>
      <c r="M949" s="2" t="s">
        <v>52</v>
      </c>
      <c r="N949" s="2">
        <v>505837</v>
      </c>
      <c r="O949" t="s">
        <v>53</v>
      </c>
      <c r="P949">
        <v>3430108736</v>
      </c>
      <c r="Q949" s="2">
        <v>46053.56591435185</v>
      </c>
      <c r="R949" s="5" t="s">
        <v>54</v>
      </c>
      <c r="S949" s="2" t="s">
        <v>51</v>
      </c>
      <c r="T949" s="2" t="s">
        <v>55</v>
      </c>
      <c r="U949" s="2" t="s">
        <v>56</v>
      </c>
      <c r="V949" s="2" t="s">
        <v>57</v>
      </c>
      <c r="Y949" s="2">
        <v>516.98</v>
      </c>
      <c r="Z949" s="1">
        <v>516.98</v>
      </c>
      <c r="AA949" s="1">
        <v>9</v>
      </c>
      <c r="AB949" s="1">
        <v>25.85</v>
      </c>
      <c r="AC949" s="1">
        <v>0</v>
      </c>
      <c r="AD949" s="1">
        <v>67.768600000000006</v>
      </c>
      <c r="AE949" s="1">
        <v>551.83000000000004</v>
      </c>
      <c r="AH949" s="1">
        <v>0</v>
      </c>
      <c r="AL949" s="1">
        <v>0</v>
      </c>
      <c r="AM949" s="1">
        <v>0</v>
      </c>
      <c r="AN949" s="1">
        <v>0</v>
      </c>
      <c r="AO949" s="1">
        <v>9.0471500000000002</v>
      </c>
      <c r="AP949" s="1">
        <v>1.2666010000000001</v>
      </c>
      <c r="AQ949" s="1">
        <v>453.49122999999997</v>
      </c>
      <c r="AR949" s="1">
        <v>453.49122999999997</v>
      </c>
      <c r="AS949" s="1">
        <v>113.37281</v>
      </c>
      <c r="AT949" s="2">
        <v>15.8721934</v>
      </c>
      <c r="AU949" s="1">
        <v>33.99</v>
      </c>
      <c r="AV949" s="1" t="s">
        <v>60</v>
      </c>
      <c r="AW949" s="1">
        <v>343.43099999999998</v>
      </c>
      <c r="AX949" s="1">
        <f>Table1[[#This Row],[Original Commissionable GMV]]-Table1[[#This Row],[Commission ]]-Table1[[#This Row],[Commission VAT]]-Table1[[#This Row],[FreeDeliveryFund]]</f>
        <v>290.25622659999993</v>
      </c>
    </row>
    <row r="950" spans="12:50" x14ac:dyDescent="0.25">
      <c r="L950" s="2">
        <v>504016</v>
      </c>
      <c r="M950" s="2" t="s">
        <v>52</v>
      </c>
      <c r="N950" s="2">
        <v>505839</v>
      </c>
      <c r="O950" t="s">
        <v>65</v>
      </c>
      <c r="P950">
        <v>3430163196</v>
      </c>
      <c r="Q950" s="2">
        <v>46053.587060185186</v>
      </c>
      <c r="R950" s="5" t="s">
        <v>54</v>
      </c>
      <c r="S950" s="2" t="s">
        <v>51</v>
      </c>
      <c r="T950" s="2" t="s">
        <v>55</v>
      </c>
      <c r="U950" s="2" t="s">
        <v>56</v>
      </c>
      <c r="V950" s="2" t="s">
        <v>57</v>
      </c>
      <c r="Y950" s="2">
        <v>418.99</v>
      </c>
      <c r="Z950" s="1">
        <v>418.99</v>
      </c>
      <c r="AA950" s="1">
        <v>0</v>
      </c>
      <c r="AB950" s="1">
        <v>20.95</v>
      </c>
      <c r="AC950" s="1">
        <v>0</v>
      </c>
      <c r="AD950" s="1">
        <v>54.027720000000002</v>
      </c>
      <c r="AE950" s="1">
        <v>439.94</v>
      </c>
      <c r="AH950" s="1">
        <v>0</v>
      </c>
      <c r="AL950" s="1">
        <v>0</v>
      </c>
      <c r="AM950" s="1">
        <v>0</v>
      </c>
      <c r="AN950" s="1">
        <v>0</v>
      </c>
      <c r="AO950" s="1">
        <v>7.332325</v>
      </c>
      <c r="AP950" s="1">
        <v>1.0265255</v>
      </c>
      <c r="AQ950" s="1">
        <v>367.53509000000003</v>
      </c>
      <c r="AR950" s="1">
        <v>367.53509000000003</v>
      </c>
      <c r="AS950" s="1">
        <v>91.883769999999998</v>
      </c>
      <c r="AT950" s="2">
        <v>12.863727799999999</v>
      </c>
      <c r="AU950" s="1">
        <v>28.99</v>
      </c>
      <c r="AV950" s="1" t="s">
        <v>60</v>
      </c>
      <c r="AW950" s="1">
        <v>276.89400000000001</v>
      </c>
      <c r="AX950" s="1">
        <f>Table1[[#This Row],[Original Commissionable GMV]]-Table1[[#This Row],[Commission ]]-Table1[[#This Row],[Commission VAT]]-Table1[[#This Row],[FreeDeliveryFund]]</f>
        <v>233.79759220000005</v>
      </c>
    </row>
    <row r="951" spans="12:50" x14ac:dyDescent="0.25">
      <c r="L951" s="2">
        <v>504016</v>
      </c>
      <c r="M951" s="2" t="s">
        <v>52</v>
      </c>
      <c r="N951" s="2">
        <v>505839</v>
      </c>
      <c r="O951" t="s">
        <v>53</v>
      </c>
      <c r="P951">
        <v>3430215136</v>
      </c>
      <c r="Q951" s="2">
        <v>46053.606932870367</v>
      </c>
      <c r="R951" s="5" t="s">
        <v>54</v>
      </c>
      <c r="S951" s="2" t="s">
        <v>51</v>
      </c>
      <c r="T951" s="2" t="s">
        <v>55</v>
      </c>
      <c r="U951" s="2" t="s">
        <v>56</v>
      </c>
      <c r="V951" s="2" t="s">
        <v>57</v>
      </c>
      <c r="Y951" s="2">
        <v>275.99</v>
      </c>
      <c r="Z951" s="1">
        <v>275.99</v>
      </c>
      <c r="AA951" s="1">
        <v>0</v>
      </c>
      <c r="AB951" s="1">
        <v>13.8</v>
      </c>
      <c r="AC951" s="1">
        <v>0</v>
      </c>
      <c r="AD951" s="1">
        <v>35.588250000000002</v>
      </c>
      <c r="AE951" s="1">
        <v>289.79000000000002</v>
      </c>
      <c r="AH951" s="1">
        <v>0</v>
      </c>
      <c r="AL951" s="1">
        <v>0</v>
      </c>
      <c r="AM951" s="1">
        <v>0</v>
      </c>
      <c r="AN951" s="1">
        <v>0</v>
      </c>
      <c r="AO951" s="1">
        <v>4.8298249999999996</v>
      </c>
      <c r="AP951" s="1">
        <v>0.67617550000000004</v>
      </c>
      <c r="AQ951" s="1">
        <v>242.09648999999999</v>
      </c>
      <c r="AR951" s="1">
        <v>242.09648999999999</v>
      </c>
      <c r="AS951" s="1">
        <v>60.524120000000003</v>
      </c>
      <c r="AT951" s="2">
        <v>8.4733768000000005</v>
      </c>
      <c r="AU951" s="1">
        <v>31.99</v>
      </c>
      <c r="AV951" s="1" t="s">
        <v>60</v>
      </c>
      <c r="AW951" s="1">
        <v>169.49700000000001</v>
      </c>
      <c r="AX951" s="1">
        <f>Table1[[#This Row],[Original Commissionable GMV]]-Table1[[#This Row],[Commission ]]-Table1[[#This Row],[Commission VAT]]-Table1[[#This Row],[FreeDeliveryFund]]</f>
        <v>141.10899319999996</v>
      </c>
    </row>
    <row r="952" spans="12:50" x14ac:dyDescent="0.25">
      <c r="L952" s="2">
        <v>504016</v>
      </c>
      <c r="M952" s="2" t="s">
        <v>52</v>
      </c>
      <c r="N952" s="2">
        <v>505837</v>
      </c>
      <c r="O952" t="s">
        <v>53</v>
      </c>
      <c r="P952">
        <v>3430225271</v>
      </c>
      <c r="Q952" s="2">
        <v>46053.610891203702</v>
      </c>
      <c r="R952" s="5" t="s">
        <v>54</v>
      </c>
      <c r="S952" s="2" t="s">
        <v>51</v>
      </c>
      <c r="T952" s="2" t="s">
        <v>55</v>
      </c>
      <c r="U952" s="2" t="s">
        <v>56</v>
      </c>
      <c r="V952" s="2" t="s">
        <v>57</v>
      </c>
      <c r="Y952" s="2">
        <v>708.99</v>
      </c>
      <c r="Z952" s="1">
        <v>708.99</v>
      </c>
      <c r="AA952" s="1">
        <v>0</v>
      </c>
      <c r="AB952" s="1">
        <v>29.99</v>
      </c>
      <c r="AC952" s="1">
        <v>0</v>
      </c>
      <c r="AD952" s="1">
        <v>90.751930000000002</v>
      </c>
      <c r="AE952" s="1">
        <v>738.98</v>
      </c>
      <c r="AH952" s="1">
        <v>0</v>
      </c>
      <c r="AL952" s="1">
        <v>36</v>
      </c>
      <c r="AM952" s="1">
        <v>0</v>
      </c>
      <c r="AN952" s="1">
        <v>0</v>
      </c>
      <c r="AO952" s="1">
        <v>12.407325</v>
      </c>
      <c r="AP952" s="1">
        <v>1.7370254999999999</v>
      </c>
      <c r="AQ952" s="1">
        <v>621.92105000000004</v>
      </c>
      <c r="AR952" s="1">
        <v>621.92105000000004</v>
      </c>
      <c r="AS952" s="1">
        <v>155.48025999999999</v>
      </c>
      <c r="AT952" s="2">
        <v>21.767236400000002</v>
      </c>
      <c r="AU952" s="1">
        <v>35.99</v>
      </c>
      <c r="AV952" s="1" t="s">
        <v>60</v>
      </c>
      <c r="AW952" s="1">
        <v>481.608</v>
      </c>
      <c r="AX952" s="1">
        <f>Table1[[#This Row],[Original Commissionable GMV]]-Table1[[#This Row],[Commission ]]-Table1[[#This Row],[Commission VAT]]-Table1[[#This Row],[FreeDeliveryFund]]</f>
        <v>408.68355360000004</v>
      </c>
    </row>
    <row r="953" spans="12:50" x14ac:dyDescent="0.25">
      <c r="L953" s="2">
        <v>504016</v>
      </c>
      <c r="M953" s="2" t="s">
        <v>52</v>
      </c>
      <c r="N953" s="2">
        <v>505837</v>
      </c>
      <c r="O953" t="s">
        <v>53</v>
      </c>
      <c r="P953">
        <v>3430233178</v>
      </c>
      <c r="Q953" s="2">
        <v>46053.613935185182</v>
      </c>
      <c r="R953" s="5" t="s">
        <v>54</v>
      </c>
      <c r="S953" s="2" t="s">
        <v>51</v>
      </c>
      <c r="T953" s="2" t="s">
        <v>55</v>
      </c>
      <c r="U953" s="2" t="s">
        <v>56</v>
      </c>
      <c r="V953" s="2" t="s">
        <v>57</v>
      </c>
      <c r="Y953" s="2">
        <v>884.97</v>
      </c>
      <c r="Z953" s="1">
        <v>884.97</v>
      </c>
      <c r="AA953" s="1">
        <v>0</v>
      </c>
      <c r="AB953" s="1">
        <v>29.99</v>
      </c>
      <c r="AC953" s="1">
        <v>0</v>
      </c>
      <c r="AD953" s="1">
        <v>112.36351000000001</v>
      </c>
      <c r="AE953" s="1">
        <v>914.96</v>
      </c>
      <c r="AH953" s="1">
        <v>0</v>
      </c>
      <c r="AL953" s="1">
        <v>0</v>
      </c>
      <c r="AM953" s="1">
        <v>0</v>
      </c>
      <c r="AN953" s="1">
        <v>0</v>
      </c>
      <c r="AO953" s="1">
        <v>15.486974999999999</v>
      </c>
      <c r="AP953" s="1">
        <v>2.1681765</v>
      </c>
      <c r="AQ953" s="1">
        <v>776.28947000000005</v>
      </c>
      <c r="AR953" s="1">
        <v>776.28947000000005</v>
      </c>
      <c r="AS953" s="1">
        <v>194.07237000000001</v>
      </c>
      <c r="AT953" s="2">
        <v>27.1701318</v>
      </c>
      <c r="AU953" s="1">
        <v>35.99</v>
      </c>
      <c r="AV953" s="1" t="s">
        <v>60</v>
      </c>
      <c r="AW953" s="1">
        <v>610.08199999999999</v>
      </c>
      <c r="AX953" s="1">
        <f>Table1[[#This Row],[Original Commissionable GMV]]-Table1[[#This Row],[Commission ]]-Table1[[#This Row],[Commission VAT]]-Table1[[#This Row],[FreeDeliveryFund]]</f>
        <v>519.05696820000003</v>
      </c>
    </row>
    <row r="954" spans="12:50" x14ac:dyDescent="0.25">
      <c r="L954" s="2">
        <v>504016</v>
      </c>
      <c r="M954" s="2" t="s">
        <v>52</v>
      </c>
      <c r="N954" s="2">
        <v>505837</v>
      </c>
      <c r="O954" t="s">
        <v>53</v>
      </c>
      <c r="P954">
        <v>3430266575</v>
      </c>
      <c r="Q954" s="2">
        <v>46053.626712962963</v>
      </c>
      <c r="R954" s="5" t="s">
        <v>54</v>
      </c>
      <c r="S954" s="2" t="s">
        <v>51</v>
      </c>
      <c r="T954" s="2" t="s">
        <v>55</v>
      </c>
      <c r="U954" s="2" t="s">
        <v>59</v>
      </c>
      <c r="V954" s="2" t="s">
        <v>57</v>
      </c>
      <c r="Y954" s="2">
        <v>863.17</v>
      </c>
      <c r="Z954" s="1">
        <v>863.17</v>
      </c>
      <c r="AA954" s="1">
        <v>0</v>
      </c>
      <c r="AB954" s="1">
        <v>29.99</v>
      </c>
      <c r="AC954" s="1">
        <v>0</v>
      </c>
      <c r="AD954" s="1">
        <v>109.68631999999999</v>
      </c>
      <c r="AE954" s="1">
        <v>893.16</v>
      </c>
      <c r="AH954" s="1">
        <v>0</v>
      </c>
      <c r="AL954" s="1">
        <v>0</v>
      </c>
      <c r="AM954" s="1">
        <v>0</v>
      </c>
      <c r="AN954" s="1">
        <v>0</v>
      </c>
      <c r="AO954" s="1">
        <v>15.105475</v>
      </c>
      <c r="AP954" s="1">
        <v>2.1147665</v>
      </c>
      <c r="AQ954" s="1">
        <v>757.16666999999995</v>
      </c>
      <c r="AR954" s="1">
        <v>757.16666999999995</v>
      </c>
      <c r="AS954" s="1">
        <v>189.29167000000001</v>
      </c>
      <c r="AT954" s="2">
        <v>26.500833799999999</v>
      </c>
      <c r="AU954" s="1">
        <v>30.99</v>
      </c>
      <c r="AV954" s="1" t="s">
        <v>60</v>
      </c>
      <c r="AW954" s="1">
        <v>599.16700000000003</v>
      </c>
      <c r="AX954" s="1">
        <f>Table1[[#This Row],[Original Commissionable GMV]]-Table1[[#This Row],[Commission ]]-Table1[[#This Row],[Commission VAT]]-Table1[[#This Row],[FreeDeliveryFund]]</f>
        <v>510.38416619999998</v>
      </c>
    </row>
    <row r="955" spans="12:50" x14ac:dyDescent="0.25">
      <c r="L955" s="2">
        <v>504016</v>
      </c>
      <c r="M955" s="2" t="s">
        <v>52</v>
      </c>
      <c r="N955" s="2">
        <v>505837</v>
      </c>
      <c r="O955" t="s">
        <v>53</v>
      </c>
      <c r="P955">
        <v>3430319448</v>
      </c>
      <c r="Q955" s="2">
        <v>46053.646041666667</v>
      </c>
      <c r="R955" s="5" t="s">
        <v>62</v>
      </c>
      <c r="S955" s="2" t="s">
        <v>51</v>
      </c>
      <c r="T955" s="2" t="s">
        <v>55</v>
      </c>
      <c r="U955" s="2" t="s">
        <v>56</v>
      </c>
      <c r="V955" s="2" t="s">
        <v>57</v>
      </c>
      <c r="Y955" s="2">
        <v>799.98</v>
      </c>
      <c r="Z955" s="1">
        <v>799.98</v>
      </c>
      <c r="AA955" s="1">
        <v>32.99</v>
      </c>
      <c r="AB955" s="1">
        <v>29.99</v>
      </c>
      <c r="AC955" s="1">
        <v>0</v>
      </c>
      <c r="AD955" s="1">
        <v>105.97754</v>
      </c>
      <c r="AE955" s="1">
        <v>862.96</v>
      </c>
      <c r="AH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701.73684000000003</v>
      </c>
      <c r="AR955" s="1">
        <v>701.73684000000003</v>
      </c>
      <c r="AS955" s="1">
        <v>175.43421000000001</v>
      </c>
      <c r="AT955" s="2">
        <v>24.560789400000001</v>
      </c>
      <c r="AU955" s="1">
        <v>0</v>
      </c>
      <c r="AV955" s="1" t="s">
        <v>69</v>
      </c>
      <c r="AW955" s="1">
        <v>599.98500000000001</v>
      </c>
      <c r="AX955" s="1">
        <f>Table1[[#This Row],[Original Commissionable GMV]]-Table1[[#This Row],[Commission ]]-Table1[[#This Row],[Commission VAT]]-Table1[[#This Row],[FreeDeliveryFund]]</f>
        <v>501.74184060000005</v>
      </c>
    </row>
    <row r="956" spans="12:50" x14ac:dyDescent="0.25">
      <c r="L956" s="2">
        <v>504016</v>
      </c>
      <c r="M956" s="2" t="s">
        <v>52</v>
      </c>
      <c r="N956" s="2">
        <v>505835</v>
      </c>
      <c r="O956" t="s">
        <v>53</v>
      </c>
      <c r="P956">
        <v>3430356552</v>
      </c>
      <c r="Q956" s="2">
        <v>46053.659259259257</v>
      </c>
      <c r="R956" s="5" t="s">
        <v>54</v>
      </c>
      <c r="S956" s="2" t="s">
        <v>51</v>
      </c>
      <c r="T956" s="2" t="s">
        <v>55</v>
      </c>
      <c r="U956" s="2" t="s">
        <v>56</v>
      </c>
      <c r="V956" s="2" t="s">
        <v>57</v>
      </c>
      <c r="Y956" s="2">
        <v>489.66</v>
      </c>
      <c r="Z956" s="1">
        <v>489.66</v>
      </c>
      <c r="AA956" s="1">
        <v>9</v>
      </c>
      <c r="AB956" s="1">
        <v>24.48</v>
      </c>
      <c r="AC956" s="1">
        <v>0</v>
      </c>
      <c r="AD956" s="1">
        <v>64.245260000000002</v>
      </c>
      <c r="AE956" s="1">
        <v>523.14</v>
      </c>
      <c r="AH956" s="1">
        <v>0</v>
      </c>
      <c r="AL956" s="1">
        <v>31.5</v>
      </c>
      <c r="AM956" s="1">
        <v>0</v>
      </c>
      <c r="AN956" s="1">
        <v>0</v>
      </c>
      <c r="AO956" s="1">
        <v>8.5690500000000007</v>
      </c>
      <c r="AP956" s="1">
        <v>1.199667</v>
      </c>
      <c r="AQ956" s="1">
        <v>429.52632</v>
      </c>
      <c r="AR956" s="1">
        <v>429.52632</v>
      </c>
      <c r="AS956" s="1">
        <v>107.38158</v>
      </c>
      <c r="AT956" s="2">
        <v>15.033421199999999</v>
      </c>
      <c r="AU956" s="1">
        <v>34.99</v>
      </c>
      <c r="AV956" s="1" t="s">
        <v>60</v>
      </c>
      <c r="AW956" s="1">
        <v>322.48599999999999</v>
      </c>
      <c r="AX956" s="1">
        <f>Table1[[#This Row],[Original Commissionable GMV]]-Table1[[#This Row],[Commission ]]-Table1[[#This Row],[Commission VAT]]-Table1[[#This Row],[FreeDeliveryFund]]</f>
        <v>272.12131879999998</v>
      </c>
    </row>
    <row r="957" spans="12:50" x14ac:dyDescent="0.25">
      <c r="L957" s="2">
        <v>504016</v>
      </c>
      <c r="M957" s="2" t="s">
        <v>52</v>
      </c>
      <c r="N957" s="2">
        <v>505837</v>
      </c>
      <c r="O957" t="s">
        <v>63</v>
      </c>
      <c r="P957">
        <v>3430364117</v>
      </c>
      <c r="Q957" s="2">
        <v>46053.661909722221</v>
      </c>
      <c r="R957" s="5" t="s">
        <v>54</v>
      </c>
      <c r="S957" s="2" t="s">
        <v>51</v>
      </c>
      <c r="T957" s="2" t="s">
        <v>55</v>
      </c>
      <c r="U957" s="2" t="s">
        <v>59</v>
      </c>
      <c r="V957" s="2" t="s">
        <v>57</v>
      </c>
      <c r="Y957" s="2">
        <v>389.83</v>
      </c>
      <c r="Z957" s="1">
        <v>389.83</v>
      </c>
      <c r="AA957" s="1">
        <v>0</v>
      </c>
      <c r="AB957" s="1">
        <v>19.489999999999998</v>
      </c>
      <c r="AC957" s="1">
        <v>0</v>
      </c>
      <c r="AD957" s="1">
        <v>50.26737</v>
      </c>
      <c r="AE957" s="1">
        <v>409.32</v>
      </c>
      <c r="AH957" s="1">
        <v>0</v>
      </c>
      <c r="AL957" s="1">
        <v>0</v>
      </c>
      <c r="AM957" s="1">
        <v>0</v>
      </c>
      <c r="AN957" s="1">
        <v>0</v>
      </c>
      <c r="AO957" s="1">
        <v>6.822025</v>
      </c>
      <c r="AP957" s="1">
        <v>0.95508349999999997</v>
      </c>
      <c r="AQ957" s="1">
        <v>341.95614</v>
      </c>
      <c r="AR957" s="1">
        <v>341.95614</v>
      </c>
      <c r="AS957" s="1">
        <v>85.489040000000003</v>
      </c>
      <c r="AT957" s="2">
        <v>11.9684656</v>
      </c>
      <c r="AU957" s="1">
        <v>28.99</v>
      </c>
      <c r="AV957" s="1" t="s">
        <v>60</v>
      </c>
      <c r="AW957" s="1">
        <v>255.60499999999999</v>
      </c>
      <c r="AX957" s="1">
        <f>Table1[[#This Row],[Original Commissionable GMV]]-Table1[[#This Row],[Commission ]]-Table1[[#This Row],[Commission VAT]]-Table1[[#This Row],[FreeDeliveryFund]]</f>
        <v>215.50863440000001</v>
      </c>
    </row>
    <row r="958" spans="12:50" x14ac:dyDescent="0.25">
      <c r="L958" s="2">
        <v>504016</v>
      </c>
      <c r="M958" s="2" t="s">
        <v>52</v>
      </c>
      <c r="N958" s="2">
        <v>505835</v>
      </c>
      <c r="O958" t="s">
        <v>63</v>
      </c>
      <c r="P958">
        <v>3430391064</v>
      </c>
      <c r="Q958" s="2">
        <v>46053.671261574076</v>
      </c>
      <c r="R958" s="5" t="s">
        <v>54</v>
      </c>
      <c r="S958" s="2" t="s">
        <v>51</v>
      </c>
      <c r="T958" s="2" t="s">
        <v>55</v>
      </c>
      <c r="U958" s="2" t="s">
        <v>56</v>
      </c>
      <c r="V958" s="2" t="s">
        <v>57</v>
      </c>
      <c r="Y958" s="2">
        <v>791.98</v>
      </c>
      <c r="Z958" s="1">
        <v>791.98</v>
      </c>
      <c r="AA958" s="1">
        <v>0</v>
      </c>
      <c r="AB958" s="1">
        <v>29.99</v>
      </c>
      <c r="AC958" s="1">
        <v>0</v>
      </c>
      <c r="AD958" s="1">
        <v>100.94368</v>
      </c>
      <c r="AE958" s="1">
        <v>821.97</v>
      </c>
      <c r="AH958" s="1">
        <v>0</v>
      </c>
      <c r="AL958" s="1">
        <v>0</v>
      </c>
      <c r="AM958" s="1">
        <v>0</v>
      </c>
      <c r="AN958" s="1">
        <v>0</v>
      </c>
      <c r="AO958" s="1">
        <v>13.85965</v>
      </c>
      <c r="AP958" s="1">
        <v>1.9403509999999999</v>
      </c>
      <c r="AQ958" s="1">
        <v>694.71929999999998</v>
      </c>
      <c r="AR958" s="1">
        <v>694.71929999999998</v>
      </c>
      <c r="AS958" s="1">
        <v>173.67983000000001</v>
      </c>
      <c r="AT958" s="2">
        <v>24.3151762</v>
      </c>
      <c r="AU958" s="1">
        <v>29.99</v>
      </c>
      <c r="AV958" s="1" t="s">
        <v>60</v>
      </c>
      <c r="AW958" s="1">
        <v>548.19500000000005</v>
      </c>
      <c r="AX958" s="1">
        <f>Table1[[#This Row],[Original Commissionable GMV]]-Table1[[#This Row],[Commission ]]-Table1[[#This Row],[Commission VAT]]-Table1[[#This Row],[FreeDeliveryFund]]</f>
        <v>466.73429379999993</v>
      </c>
    </row>
    <row r="959" spans="12:50" x14ac:dyDescent="0.25">
      <c r="L959" s="2">
        <v>504016</v>
      </c>
      <c r="M959" s="2" t="s">
        <v>52</v>
      </c>
      <c r="N959" s="2">
        <v>505839</v>
      </c>
      <c r="O959" t="s">
        <v>53</v>
      </c>
      <c r="P959">
        <v>3430401330</v>
      </c>
      <c r="Q959" s="2">
        <v>46053.674861111111</v>
      </c>
      <c r="R959" s="5" t="s">
        <v>54</v>
      </c>
      <c r="S959" s="2" t="s">
        <v>51</v>
      </c>
      <c r="T959" s="2" t="s">
        <v>55</v>
      </c>
      <c r="U959" s="2" t="s">
        <v>56</v>
      </c>
      <c r="V959" s="2" t="s">
        <v>57</v>
      </c>
      <c r="Y959" s="2">
        <v>363.99</v>
      </c>
      <c r="Z959" s="1">
        <v>363.99</v>
      </c>
      <c r="AA959" s="1">
        <v>0</v>
      </c>
      <c r="AB959" s="1">
        <v>18.2</v>
      </c>
      <c r="AC959" s="1">
        <v>0</v>
      </c>
      <c r="AD959" s="1">
        <v>46.935609999999997</v>
      </c>
      <c r="AE959" s="1">
        <v>382.19</v>
      </c>
      <c r="AH959" s="1">
        <v>0</v>
      </c>
      <c r="AL959" s="1">
        <v>0</v>
      </c>
      <c r="AM959" s="1">
        <v>0</v>
      </c>
      <c r="AN959" s="1">
        <v>0</v>
      </c>
      <c r="AO959" s="1">
        <v>6.3698249999999996</v>
      </c>
      <c r="AP959" s="1">
        <v>0.89177550000000005</v>
      </c>
      <c r="AQ959" s="1">
        <v>319.28946999999999</v>
      </c>
      <c r="AR959" s="1">
        <v>319.28946999999999</v>
      </c>
      <c r="AS959" s="1">
        <v>79.822370000000006</v>
      </c>
      <c r="AT959" s="2">
        <v>11.175131800000001</v>
      </c>
      <c r="AU959" s="1">
        <v>30.99</v>
      </c>
      <c r="AV959" s="1" t="s">
        <v>60</v>
      </c>
      <c r="AW959" s="1">
        <v>234.74100000000001</v>
      </c>
      <c r="AX959" s="1">
        <f>Table1[[#This Row],[Original Commissionable GMV]]-Table1[[#This Row],[Commission ]]-Table1[[#This Row],[Commission VAT]]-Table1[[#This Row],[FreeDeliveryFund]]</f>
        <v>197.30196819999998</v>
      </c>
    </row>
    <row r="960" spans="12:50" x14ac:dyDescent="0.25">
      <c r="L960" s="2">
        <v>504016</v>
      </c>
      <c r="M960" s="2" t="s">
        <v>52</v>
      </c>
      <c r="N960" s="2">
        <v>505837</v>
      </c>
      <c r="O960" t="s">
        <v>53</v>
      </c>
      <c r="P960">
        <v>3430415731</v>
      </c>
      <c r="Q960" s="2">
        <v>46053.679884259262</v>
      </c>
      <c r="R960" s="5" t="s">
        <v>54</v>
      </c>
      <c r="S960" s="2" t="s">
        <v>51</v>
      </c>
      <c r="T960" s="2" t="s">
        <v>55</v>
      </c>
      <c r="U960" s="2" t="s">
        <v>59</v>
      </c>
      <c r="V960" s="2" t="s">
        <v>57</v>
      </c>
      <c r="Y960" s="2">
        <v>637.69000000000005</v>
      </c>
      <c r="Z960" s="1">
        <v>637.69000000000005</v>
      </c>
      <c r="AA960" s="1">
        <v>0</v>
      </c>
      <c r="AB960" s="1">
        <v>29.99</v>
      </c>
      <c r="AC960" s="1">
        <v>0</v>
      </c>
      <c r="AD960" s="1">
        <v>81.99579</v>
      </c>
      <c r="AE960" s="1">
        <v>667.68</v>
      </c>
      <c r="AH960" s="1">
        <v>0</v>
      </c>
      <c r="AL960" s="1">
        <v>0</v>
      </c>
      <c r="AM960" s="1">
        <v>0</v>
      </c>
      <c r="AN960" s="1">
        <v>0</v>
      </c>
      <c r="AO960" s="1">
        <v>11.159575</v>
      </c>
      <c r="AP960" s="1">
        <v>1.5623404999999999</v>
      </c>
      <c r="AQ960" s="1">
        <v>559.37719000000004</v>
      </c>
      <c r="AR960" s="1">
        <v>559.37719000000004</v>
      </c>
      <c r="AS960" s="1">
        <v>139.8443</v>
      </c>
      <c r="AT960" s="2">
        <v>19.578202000000001</v>
      </c>
      <c r="AU960" s="1">
        <v>31.99</v>
      </c>
      <c r="AV960" s="1" t="s">
        <v>60</v>
      </c>
      <c r="AW960" s="1">
        <v>433.55599999999998</v>
      </c>
      <c r="AX960" s="1">
        <f>Table1[[#This Row],[Original Commissionable GMV]]-Table1[[#This Row],[Commission ]]-Table1[[#This Row],[Commission VAT]]-Table1[[#This Row],[FreeDeliveryFund]]</f>
        <v>367.96468800000008</v>
      </c>
    </row>
    <row r="961" spans="12:50" x14ac:dyDescent="0.25">
      <c r="L961" s="2">
        <v>504016</v>
      </c>
      <c r="M961" s="2" t="s">
        <v>52</v>
      </c>
      <c r="N961" s="2">
        <v>505837</v>
      </c>
      <c r="O961" t="s">
        <v>63</v>
      </c>
      <c r="P961">
        <v>3430430109</v>
      </c>
      <c r="Q961" s="2">
        <v>46053.684837962966</v>
      </c>
      <c r="R961" s="5" t="s">
        <v>54</v>
      </c>
      <c r="S961" s="2" t="s">
        <v>51</v>
      </c>
      <c r="T961" s="2" t="s">
        <v>55</v>
      </c>
      <c r="U961" s="2" t="s">
        <v>59</v>
      </c>
      <c r="V961" s="2" t="s">
        <v>57</v>
      </c>
      <c r="Y961" s="2">
        <v>639.98</v>
      </c>
      <c r="Z961" s="1">
        <v>639.98</v>
      </c>
      <c r="AA961" s="1">
        <v>0</v>
      </c>
      <c r="AB961" s="1">
        <v>29.99</v>
      </c>
      <c r="AC961" s="1">
        <v>0</v>
      </c>
      <c r="AD961" s="1">
        <v>82.277019999999993</v>
      </c>
      <c r="AE961" s="1">
        <v>669.97</v>
      </c>
      <c r="AH961" s="1">
        <v>0</v>
      </c>
      <c r="AL961" s="1">
        <v>0</v>
      </c>
      <c r="AM961" s="1">
        <v>0</v>
      </c>
      <c r="AN961" s="1">
        <v>0</v>
      </c>
      <c r="AO961" s="1">
        <v>11.19965</v>
      </c>
      <c r="AP961" s="1">
        <v>1.5679510000000001</v>
      </c>
      <c r="AQ961" s="1">
        <v>561.38595999999995</v>
      </c>
      <c r="AR961" s="1">
        <v>561.38595999999995</v>
      </c>
      <c r="AS961" s="1">
        <v>140.34648999999999</v>
      </c>
      <c r="AT961" s="2">
        <v>19.6485086</v>
      </c>
      <c r="AU961" s="1">
        <v>29.99</v>
      </c>
      <c r="AV961" s="1" t="s">
        <v>60</v>
      </c>
      <c r="AW961" s="1">
        <v>437.22699999999998</v>
      </c>
      <c r="AX961" s="1">
        <f>Table1[[#This Row],[Original Commissionable GMV]]-Table1[[#This Row],[Commission ]]-Table1[[#This Row],[Commission VAT]]-Table1[[#This Row],[FreeDeliveryFund]]</f>
        <v>371.40096139999991</v>
      </c>
    </row>
    <row r="962" spans="12:50" x14ac:dyDescent="0.25">
      <c r="L962" s="2">
        <v>504016</v>
      </c>
      <c r="M962" s="2" t="s">
        <v>52</v>
      </c>
      <c r="N962" s="2">
        <v>505835</v>
      </c>
      <c r="O962" t="s">
        <v>53</v>
      </c>
      <c r="P962">
        <v>3430432783</v>
      </c>
      <c r="Q962" s="2">
        <v>46053.685752314814</v>
      </c>
      <c r="R962" s="5" t="s">
        <v>62</v>
      </c>
      <c r="S962" s="2" t="s">
        <v>51</v>
      </c>
      <c r="T962" s="2" t="s">
        <v>55</v>
      </c>
      <c r="U962" s="2" t="s">
        <v>56</v>
      </c>
      <c r="V962" s="2" t="s">
        <v>57</v>
      </c>
      <c r="Y962" s="2">
        <v>475.98</v>
      </c>
      <c r="Z962" s="1">
        <v>475.98</v>
      </c>
      <c r="AA962" s="1">
        <v>0</v>
      </c>
      <c r="AB962" s="1">
        <v>23.8</v>
      </c>
      <c r="AC962" s="1">
        <v>0</v>
      </c>
      <c r="AD962" s="1">
        <v>61.376489999999997</v>
      </c>
      <c r="AE962" s="1">
        <v>499.78</v>
      </c>
      <c r="AH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417.52632</v>
      </c>
      <c r="AR962" s="1">
        <v>417.52632</v>
      </c>
      <c r="AS962" s="1">
        <v>104.38158</v>
      </c>
      <c r="AT962" s="2">
        <v>14.613421199999999</v>
      </c>
      <c r="AU962" s="1">
        <v>34.99</v>
      </c>
      <c r="AV962" s="1" t="s">
        <v>60</v>
      </c>
      <c r="AW962" s="1">
        <v>321.995</v>
      </c>
      <c r="AX962" s="1">
        <f>Table1[[#This Row],[Original Commissionable GMV]]-Table1[[#This Row],[Commission ]]-Table1[[#This Row],[Commission VAT]]-Table1[[#This Row],[FreeDeliveryFund]]</f>
        <v>263.5413188</v>
      </c>
    </row>
    <row r="963" spans="12:50" x14ac:dyDescent="0.25">
      <c r="L963" s="2">
        <v>504016</v>
      </c>
      <c r="M963" s="2" t="s">
        <v>52</v>
      </c>
      <c r="N963" s="2">
        <v>505839</v>
      </c>
      <c r="O963" t="s">
        <v>65</v>
      </c>
      <c r="P963">
        <v>3430474062</v>
      </c>
      <c r="Q963" s="2">
        <v>46053.699583333335</v>
      </c>
      <c r="R963" s="5" t="s">
        <v>54</v>
      </c>
      <c r="S963" s="2" t="s">
        <v>51</v>
      </c>
      <c r="T963" s="2" t="s">
        <v>55</v>
      </c>
      <c r="U963" s="2" t="s">
        <v>56</v>
      </c>
      <c r="V963" s="2" t="s">
        <v>57</v>
      </c>
      <c r="Y963" s="2">
        <v>838.62</v>
      </c>
      <c r="Z963" s="1">
        <v>838.62</v>
      </c>
      <c r="AA963" s="1">
        <v>7</v>
      </c>
      <c r="AB963" s="1">
        <v>29.99</v>
      </c>
      <c r="AC963" s="1">
        <v>0</v>
      </c>
      <c r="AD963" s="1">
        <v>107.53104999999999</v>
      </c>
      <c r="AE963" s="1">
        <v>875.61</v>
      </c>
      <c r="AH963" s="1">
        <v>0</v>
      </c>
      <c r="AL963" s="1">
        <v>0</v>
      </c>
      <c r="AM963" s="1">
        <v>0</v>
      </c>
      <c r="AN963" s="1">
        <v>0</v>
      </c>
      <c r="AO963" s="1">
        <v>14.675850000000001</v>
      </c>
      <c r="AP963" s="1">
        <v>2.0546190000000002</v>
      </c>
      <c r="AQ963" s="1">
        <v>735.63157999999999</v>
      </c>
      <c r="AR963" s="1">
        <v>735.63157999999999</v>
      </c>
      <c r="AS963" s="1">
        <v>183.90790000000001</v>
      </c>
      <c r="AT963" s="2">
        <v>25.747105999999999</v>
      </c>
      <c r="AU963" s="1">
        <v>27.99</v>
      </c>
      <c r="AV963" s="1" t="s">
        <v>60</v>
      </c>
      <c r="AW963" s="1">
        <v>584.245</v>
      </c>
      <c r="AX963" s="1">
        <f>Table1[[#This Row],[Original Commissionable GMV]]-Table1[[#This Row],[Commission ]]-Table1[[#This Row],[Commission VAT]]-Table1[[#This Row],[FreeDeliveryFund]]</f>
        <v>497.98657399999991</v>
      </c>
    </row>
    <row r="964" spans="12:50" x14ac:dyDescent="0.25">
      <c r="L964" s="2">
        <v>504016</v>
      </c>
      <c r="M964" s="2" t="s">
        <v>52</v>
      </c>
      <c r="N964" s="2">
        <v>505839</v>
      </c>
      <c r="O964" t="s">
        <v>63</v>
      </c>
      <c r="P964">
        <v>3430514112</v>
      </c>
      <c r="Q964" s="2">
        <v>46053.712291666663</v>
      </c>
      <c r="R964" s="5" t="s">
        <v>54</v>
      </c>
      <c r="S964" s="2" t="s">
        <v>51</v>
      </c>
      <c r="T964" s="2" t="s">
        <v>55</v>
      </c>
      <c r="U964" s="2" t="s">
        <v>56</v>
      </c>
      <c r="V964" s="2" t="s">
        <v>57</v>
      </c>
      <c r="Y964" s="2">
        <v>866.99</v>
      </c>
      <c r="Z964" s="1">
        <v>866.99</v>
      </c>
      <c r="AA964" s="1">
        <v>0</v>
      </c>
      <c r="AB964" s="1">
        <v>29.99</v>
      </c>
      <c r="AC964" s="1">
        <v>0</v>
      </c>
      <c r="AD964" s="1">
        <v>110.15544</v>
      </c>
      <c r="AE964" s="1">
        <v>896.98</v>
      </c>
      <c r="AH964" s="1">
        <v>0</v>
      </c>
      <c r="AL964" s="1">
        <v>0</v>
      </c>
      <c r="AM964" s="1">
        <v>0</v>
      </c>
      <c r="AN964" s="1">
        <v>0</v>
      </c>
      <c r="AO964" s="1">
        <v>15.172325000000001</v>
      </c>
      <c r="AP964" s="1">
        <v>2.1241254999999999</v>
      </c>
      <c r="AQ964" s="1">
        <v>760.51754000000005</v>
      </c>
      <c r="AR964" s="1">
        <v>760.51754000000005</v>
      </c>
      <c r="AS964" s="1">
        <v>190.12939</v>
      </c>
      <c r="AT964" s="2">
        <v>26.618114599999998</v>
      </c>
      <c r="AU964" s="1">
        <v>28.99</v>
      </c>
      <c r="AV964" s="1" t="s">
        <v>60</v>
      </c>
      <c r="AW964" s="1">
        <v>603.95600000000002</v>
      </c>
      <c r="AX964" s="1">
        <f>Table1[[#This Row],[Original Commissionable GMV]]-Table1[[#This Row],[Commission ]]-Table1[[#This Row],[Commission VAT]]-Table1[[#This Row],[FreeDeliveryFund]]</f>
        <v>514.78003539999997</v>
      </c>
    </row>
    <row r="965" spans="12:50" x14ac:dyDescent="0.25">
      <c r="L965" s="2">
        <v>504016</v>
      </c>
      <c r="M965" s="2" t="s">
        <v>52</v>
      </c>
      <c r="N965" s="2">
        <v>505837</v>
      </c>
      <c r="O965" t="s">
        <v>63</v>
      </c>
      <c r="P965">
        <v>3430570151</v>
      </c>
      <c r="Q965" s="2">
        <v>46053.729212962964</v>
      </c>
      <c r="R965" s="5" t="s">
        <v>54</v>
      </c>
      <c r="S965" s="2" t="s">
        <v>51</v>
      </c>
      <c r="T965" s="2" t="s">
        <v>55</v>
      </c>
      <c r="U965" s="2" t="s">
        <v>59</v>
      </c>
      <c r="V965" s="2" t="s">
        <v>57</v>
      </c>
      <c r="Y965" s="2">
        <v>393.99</v>
      </c>
      <c r="Z965" s="1">
        <v>393.99</v>
      </c>
      <c r="AA965" s="1">
        <v>26.99</v>
      </c>
      <c r="AB965" s="1">
        <v>19.7</v>
      </c>
      <c r="AC965" s="1">
        <v>0</v>
      </c>
      <c r="AD965" s="1">
        <v>54.118600000000001</v>
      </c>
      <c r="AE965" s="1">
        <v>440.68</v>
      </c>
      <c r="AH965" s="1">
        <v>0</v>
      </c>
      <c r="AL965" s="1">
        <v>0</v>
      </c>
      <c r="AM965" s="1">
        <v>0</v>
      </c>
      <c r="AN965" s="1">
        <v>0</v>
      </c>
      <c r="AO965" s="1">
        <v>6.894825</v>
      </c>
      <c r="AP965" s="1">
        <v>0.96527549999999995</v>
      </c>
      <c r="AQ965" s="1">
        <v>345.60525999999999</v>
      </c>
      <c r="AR965" s="1">
        <v>345.60525999999999</v>
      </c>
      <c r="AS965" s="1">
        <v>86.401319999999998</v>
      </c>
      <c r="AT965" s="2">
        <v>12.0961848</v>
      </c>
      <c r="AU965" s="1">
        <v>0</v>
      </c>
      <c r="AV965" s="1" t="s">
        <v>69</v>
      </c>
      <c r="AW965" s="1">
        <v>287.63200000000001</v>
      </c>
      <c r="AX965" s="1">
        <f>Table1[[#This Row],[Original Commissionable GMV]]-Table1[[#This Row],[Commission ]]-Table1[[#This Row],[Commission VAT]]-Table1[[#This Row],[FreeDeliveryFund]]</f>
        <v>247.10775519999999</v>
      </c>
    </row>
    <row r="966" spans="12:50" x14ac:dyDescent="0.25">
      <c r="L966" s="2">
        <v>504016</v>
      </c>
      <c r="M966" s="2" t="s">
        <v>52</v>
      </c>
      <c r="N966" s="2">
        <v>505839</v>
      </c>
      <c r="O966" t="s">
        <v>53</v>
      </c>
      <c r="P966">
        <v>3430645174</v>
      </c>
      <c r="Q966" s="2">
        <v>46053.751446759263</v>
      </c>
      <c r="R966" s="5" t="s">
        <v>54</v>
      </c>
      <c r="S966" s="2" t="s">
        <v>51</v>
      </c>
      <c r="T966" s="2" t="s">
        <v>55</v>
      </c>
      <c r="U966" s="2" t="s">
        <v>59</v>
      </c>
      <c r="V966" s="2" t="s">
        <v>57</v>
      </c>
      <c r="Y966" s="2">
        <v>355.99</v>
      </c>
      <c r="Z966" s="1">
        <v>355.99</v>
      </c>
      <c r="AA966" s="1">
        <v>0</v>
      </c>
      <c r="AB966" s="1">
        <v>17.8</v>
      </c>
      <c r="AC966" s="1">
        <v>0</v>
      </c>
      <c r="AD966" s="1">
        <v>45.904040000000002</v>
      </c>
      <c r="AE966" s="1">
        <v>373.79</v>
      </c>
      <c r="AH966" s="1">
        <v>0</v>
      </c>
      <c r="AL966" s="1">
        <v>0</v>
      </c>
      <c r="AM966" s="1">
        <v>30</v>
      </c>
      <c r="AN966" s="1">
        <v>4.2</v>
      </c>
      <c r="AO966" s="1">
        <v>6.2298249999999999</v>
      </c>
      <c r="AP966" s="1">
        <v>0.87217549999999999</v>
      </c>
      <c r="AQ966" s="1">
        <v>312.27193</v>
      </c>
      <c r="AR966" s="1">
        <v>312.27193</v>
      </c>
      <c r="AS966" s="1">
        <v>78.067980000000006</v>
      </c>
      <c r="AT966" s="2">
        <v>10.929517199999999</v>
      </c>
      <c r="AU966" s="1">
        <v>31.99</v>
      </c>
      <c r="AV966" s="1" t="s">
        <v>60</v>
      </c>
      <c r="AW966" s="1">
        <v>193.70099999999999</v>
      </c>
      <c r="AX966" s="1">
        <f>Table1[[#This Row],[Original Commissionable GMV]]-Table1[[#This Row],[Commission ]]-Table1[[#This Row],[Commission VAT]]-Table1[[#This Row],[FreeDeliveryFund]]</f>
        <v>191.28443279999999</v>
      </c>
    </row>
    <row r="967" spans="12:50" x14ac:dyDescent="0.25">
      <c r="L967" s="2">
        <v>504016</v>
      </c>
      <c r="M967" s="2" t="s">
        <v>52</v>
      </c>
      <c r="N967" s="2">
        <v>505839</v>
      </c>
      <c r="O967" t="s">
        <v>65</v>
      </c>
      <c r="P967">
        <v>3430661590</v>
      </c>
      <c r="Q967" s="2">
        <v>46053.756168981483</v>
      </c>
      <c r="R967" s="5" t="s">
        <v>66</v>
      </c>
      <c r="S967" s="2" t="s">
        <v>51</v>
      </c>
      <c r="T967" s="2" t="s">
        <v>55</v>
      </c>
      <c r="U967" s="2" t="s">
        <v>56</v>
      </c>
      <c r="V967" s="2" t="s">
        <v>57</v>
      </c>
      <c r="Y967" s="2">
        <v>245.68</v>
      </c>
      <c r="Z967" s="1">
        <v>245.68</v>
      </c>
      <c r="AA967" s="1">
        <v>7</v>
      </c>
      <c r="AB967" s="1">
        <v>12.28</v>
      </c>
      <c r="AC967" s="1">
        <v>0</v>
      </c>
      <c r="AD967" s="1">
        <v>32.53895</v>
      </c>
      <c r="AE967" s="1">
        <v>264.95999999999998</v>
      </c>
      <c r="AH967" s="1">
        <v>0</v>
      </c>
      <c r="AL967" s="1">
        <v>78</v>
      </c>
      <c r="AM967" s="1">
        <v>0</v>
      </c>
      <c r="AN967" s="1">
        <v>0</v>
      </c>
      <c r="AO967" s="1">
        <v>4.2994000000000003</v>
      </c>
      <c r="AP967" s="1">
        <v>0.60191600000000001</v>
      </c>
      <c r="AQ967" s="1">
        <v>215.50877</v>
      </c>
      <c r="AR967" s="1">
        <v>215.50877</v>
      </c>
      <c r="AS967" s="1">
        <v>53.877189999999999</v>
      </c>
      <c r="AT967" s="2">
        <v>7.5428065999999996</v>
      </c>
      <c r="AU967" s="1">
        <v>26.99</v>
      </c>
      <c r="AV967" s="1" t="s">
        <v>60</v>
      </c>
      <c r="AW967" s="1">
        <v>152.369</v>
      </c>
      <c r="AX967" s="1">
        <f>Table1[[#This Row],[Original Commissionable GMV]]-Table1[[#This Row],[Commission ]]-Table1[[#This Row],[Commission VAT]]-Table1[[#This Row],[FreeDeliveryFund]]</f>
        <v>127.09877339999998</v>
      </c>
    </row>
    <row r="968" spans="12:50" x14ac:dyDescent="0.25">
      <c r="L968" s="2">
        <v>504016</v>
      </c>
      <c r="M968" s="2" t="s">
        <v>52</v>
      </c>
      <c r="N968" s="2">
        <v>505837</v>
      </c>
      <c r="O968" t="s">
        <v>53</v>
      </c>
      <c r="P968">
        <v>3430702417</v>
      </c>
      <c r="Q968" s="2">
        <v>46053.767638888887</v>
      </c>
      <c r="R968" s="5" t="s">
        <v>54</v>
      </c>
      <c r="S968" s="2" t="s">
        <v>51</v>
      </c>
      <c r="T968" s="2" t="s">
        <v>55</v>
      </c>
      <c r="U968" s="2" t="s">
        <v>59</v>
      </c>
      <c r="V968" s="2" t="s">
        <v>57</v>
      </c>
      <c r="Y968" s="2">
        <v>854.99</v>
      </c>
      <c r="Z968" s="1">
        <v>854.99</v>
      </c>
      <c r="AA968" s="1">
        <v>0</v>
      </c>
      <c r="AB968" s="1">
        <v>29.99</v>
      </c>
      <c r="AC968" s="1">
        <v>0</v>
      </c>
      <c r="AD968" s="1">
        <v>108.68174999999999</v>
      </c>
      <c r="AE968" s="1">
        <v>884.98</v>
      </c>
      <c r="AH968" s="1">
        <v>0</v>
      </c>
      <c r="AL968" s="1">
        <v>45</v>
      </c>
      <c r="AM968" s="1">
        <v>0</v>
      </c>
      <c r="AN968" s="1">
        <v>0</v>
      </c>
      <c r="AO968" s="1">
        <v>14.962325</v>
      </c>
      <c r="AP968" s="1">
        <v>2.0947255</v>
      </c>
      <c r="AQ968" s="1">
        <v>749.99122999999997</v>
      </c>
      <c r="AR968" s="1">
        <v>749.99122999999997</v>
      </c>
      <c r="AS968" s="1">
        <v>187.49780999999999</v>
      </c>
      <c r="AT968" s="2">
        <v>26.249693400000002</v>
      </c>
      <c r="AU968" s="1">
        <v>32.99</v>
      </c>
      <c r="AV968" s="1" t="s">
        <v>60</v>
      </c>
      <c r="AW968" s="1">
        <v>591.19500000000005</v>
      </c>
      <c r="AX968" s="1">
        <f>Table1[[#This Row],[Original Commissionable GMV]]-Table1[[#This Row],[Commission ]]-Table1[[#This Row],[Commission VAT]]-Table1[[#This Row],[FreeDeliveryFund]]</f>
        <v>503.25372660000005</v>
      </c>
    </row>
    <row r="969" spans="12:50" x14ac:dyDescent="0.25">
      <c r="L969" s="2">
        <v>504016</v>
      </c>
      <c r="M969" s="2" t="s">
        <v>52</v>
      </c>
      <c r="N969" s="2">
        <v>505835</v>
      </c>
      <c r="O969" t="s">
        <v>53</v>
      </c>
      <c r="P969">
        <v>3430818272</v>
      </c>
      <c r="Q969" s="2">
        <v>46053.800335648149</v>
      </c>
      <c r="R969" s="5" t="s">
        <v>54</v>
      </c>
      <c r="S969" s="2" t="s">
        <v>51</v>
      </c>
      <c r="T969" s="2" t="s">
        <v>55</v>
      </c>
      <c r="U969" s="2" t="s">
        <v>56</v>
      </c>
      <c r="V969" s="2" t="s">
        <v>57</v>
      </c>
      <c r="Y969" s="2">
        <v>844</v>
      </c>
      <c r="Z969" s="1">
        <v>844</v>
      </c>
      <c r="AA969" s="1">
        <v>0</v>
      </c>
      <c r="AB969" s="1">
        <v>29.99</v>
      </c>
      <c r="AC969" s="1">
        <v>0</v>
      </c>
      <c r="AD969" s="1">
        <v>107.33211</v>
      </c>
      <c r="AE969" s="1">
        <v>873.99</v>
      </c>
      <c r="AH969" s="1">
        <v>0</v>
      </c>
      <c r="AL969" s="1">
        <v>0</v>
      </c>
      <c r="AM969" s="1">
        <v>0</v>
      </c>
      <c r="AN969" s="1">
        <v>0</v>
      </c>
      <c r="AO969" s="1">
        <v>14.77</v>
      </c>
      <c r="AP969" s="1">
        <v>2.0678000000000001</v>
      </c>
      <c r="AQ969" s="1">
        <v>740.35087999999996</v>
      </c>
      <c r="AR969" s="1">
        <v>740.35087999999996</v>
      </c>
      <c r="AS969" s="1">
        <v>185.08771999999999</v>
      </c>
      <c r="AT969" s="2">
        <v>25.912280800000001</v>
      </c>
      <c r="AU969" s="1">
        <v>34.99</v>
      </c>
      <c r="AV969" s="1" t="s">
        <v>60</v>
      </c>
      <c r="AW969" s="1">
        <v>581.17200000000003</v>
      </c>
      <c r="AX969" s="1">
        <f>Table1[[#This Row],[Original Commissionable GMV]]-Table1[[#This Row],[Commission ]]-Table1[[#This Row],[Commission VAT]]-Table1[[#This Row],[FreeDeliveryFund]]</f>
        <v>494.3608792</v>
      </c>
    </row>
    <row r="970" spans="12:50" x14ac:dyDescent="0.25">
      <c r="L970" s="2">
        <v>504016</v>
      </c>
      <c r="M970" s="2" t="s">
        <v>52</v>
      </c>
      <c r="N970" s="2">
        <v>505839</v>
      </c>
      <c r="O970" t="s">
        <v>63</v>
      </c>
      <c r="P970">
        <v>3430835478</v>
      </c>
      <c r="Q970" s="2">
        <v>46053.805196759262</v>
      </c>
      <c r="R970" s="5" t="s">
        <v>54</v>
      </c>
      <c r="S970" s="2" t="s">
        <v>51</v>
      </c>
      <c r="T970" s="2" t="s">
        <v>55</v>
      </c>
      <c r="U970" s="2" t="s">
        <v>56</v>
      </c>
      <c r="V970" s="2" t="s">
        <v>57</v>
      </c>
      <c r="Y970" s="2">
        <v>355</v>
      </c>
      <c r="Z970" s="1">
        <v>355</v>
      </c>
      <c r="AA970" s="1">
        <v>28.99</v>
      </c>
      <c r="AB970" s="1">
        <v>17.75</v>
      </c>
      <c r="AC970" s="1">
        <v>0</v>
      </c>
      <c r="AD970" s="1">
        <v>49.336489999999998</v>
      </c>
      <c r="AE970" s="1">
        <v>401.74</v>
      </c>
      <c r="AH970" s="1">
        <v>0</v>
      </c>
      <c r="AL970" s="1">
        <v>31.5</v>
      </c>
      <c r="AM970" s="1">
        <v>0</v>
      </c>
      <c r="AN970" s="1">
        <v>0</v>
      </c>
      <c r="AO970" s="1">
        <v>6.2125000000000004</v>
      </c>
      <c r="AP970" s="1">
        <v>0.86975000000000002</v>
      </c>
      <c r="AQ970" s="1">
        <v>311.40350999999998</v>
      </c>
      <c r="AR970" s="1">
        <v>311.40350999999998</v>
      </c>
      <c r="AS970" s="1">
        <v>77.850880000000004</v>
      </c>
      <c r="AT970" s="2">
        <v>10.8991232</v>
      </c>
      <c r="AU970" s="1">
        <v>0</v>
      </c>
      <c r="AV970" s="1" t="s">
        <v>69</v>
      </c>
      <c r="AW970" s="1">
        <v>259.16800000000001</v>
      </c>
      <c r="AX970" s="1">
        <f>Table1[[#This Row],[Original Commissionable GMV]]-Table1[[#This Row],[Commission ]]-Table1[[#This Row],[Commission VAT]]-Table1[[#This Row],[FreeDeliveryFund]]</f>
        <v>222.65350679999997</v>
      </c>
    </row>
    <row r="971" spans="12:50" x14ac:dyDescent="0.25">
      <c r="L971" s="2">
        <v>504016</v>
      </c>
      <c r="M971" s="2" t="s">
        <v>52</v>
      </c>
      <c r="N971" s="2">
        <v>505835</v>
      </c>
      <c r="O971" t="s">
        <v>63</v>
      </c>
      <c r="P971">
        <v>3430835892</v>
      </c>
      <c r="Q971" s="2">
        <v>46053.805312500001</v>
      </c>
      <c r="R971" s="5" t="s">
        <v>54</v>
      </c>
      <c r="S971" s="2" t="s">
        <v>51</v>
      </c>
      <c r="T971" s="2" t="s">
        <v>55</v>
      </c>
      <c r="U971" s="2" t="s">
        <v>59</v>
      </c>
      <c r="V971" s="2" t="s">
        <v>57</v>
      </c>
      <c r="Y971" s="2">
        <v>341.58</v>
      </c>
      <c r="Z971" s="1">
        <v>341.58</v>
      </c>
      <c r="AA971" s="1">
        <v>7</v>
      </c>
      <c r="AB971" s="1">
        <v>17.079999999999998</v>
      </c>
      <c r="AC971" s="1">
        <v>0</v>
      </c>
      <c r="AD971" s="1">
        <v>44.905610000000003</v>
      </c>
      <c r="AE971" s="1">
        <v>365.66</v>
      </c>
      <c r="AH971" s="1">
        <v>0</v>
      </c>
      <c r="AL971" s="1">
        <v>0</v>
      </c>
      <c r="AM971" s="1">
        <v>0</v>
      </c>
      <c r="AN971" s="1">
        <v>0</v>
      </c>
      <c r="AO971" s="1">
        <v>5.9776499999999997</v>
      </c>
      <c r="AP971" s="1">
        <v>0.83687100000000003</v>
      </c>
      <c r="AQ971" s="1">
        <v>299.63157999999999</v>
      </c>
      <c r="AR971" s="1">
        <v>299.63157999999999</v>
      </c>
      <c r="AS971" s="1">
        <v>74.907899999999998</v>
      </c>
      <c r="AT971" s="2">
        <v>10.487106000000001</v>
      </c>
      <c r="AU971" s="1">
        <v>30.99</v>
      </c>
      <c r="AV971" s="1" t="s">
        <v>60</v>
      </c>
      <c r="AW971" s="1">
        <v>218.38</v>
      </c>
      <c r="AX971" s="1">
        <f>Table1[[#This Row],[Original Commissionable GMV]]-Table1[[#This Row],[Commission ]]-Table1[[#This Row],[Commission VAT]]-Table1[[#This Row],[FreeDeliveryFund]]</f>
        <v>183.24657399999998</v>
      </c>
    </row>
    <row r="972" spans="12:50" x14ac:dyDescent="0.25">
      <c r="L972" s="2">
        <v>504016</v>
      </c>
      <c r="M972" s="2" t="s">
        <v>52</v>
      </c>
      <c r="N972" s="2">
        <v>505837</v>
      </c>
      <c r="O972" t="s">
        <v>63</v>
      </c>
      <c r="P972">
        <v>3430856336</v>
      </c>
      <c r="Q972" s="2">
        <v>46053.811157407406</v>
      </c>
      <c r="R972" s="5" t="s">
        <v>54</v>
      </c>
      <c r="S972" s="2" t="s">
        <v>51</v>
      </c>
      <c r="T972" s="2" t="s">
        <v>77</v>
      </c>
      <c r="U972" s="2" t="s">
        <v>56</v>
      </c>
      <c r="V972" s="2" t="s">
        <v>57</v>
      </c>
      <c r="Y972" s="2">
        <v>352</v>
      </c>
      <c r="Z972" s="1">
        <v>352</v>
      </c>
      <c r="AA972" s="1">
        <v>0</v>
      </c>
      <c r="AB972" s="1">
        <v>0</v>
      </c>
      <c r="AC972" s="1">
        <v>0</v>
      </c>
      <c r="AD972" s="1">
        <v>36.743859999999998</v>
      </c>
      <c r="AE972" s="1">
        <v>299.2</v>
      </c>
      <c r="AH972" s="1">
        <v>52.8</v>
      </c>
      <c r="AL972" s="1">
        <v>48</v>
      </c>
      <c r="AM972" s="1">
        <v>0</v>
      </c>
      <c r="AN972" s="1">
        <v>0</v>
      </c>
      <c r="AO972" s="1">
        <v>6.16</v>
      </c>
      <c r="AP972" s="1">
        <v>0.86240000000000006</v>
      </c>
      <c r="AQ972" s="1">
        <v>308.77193</v>
      </c>
      <c r="AR972" s="1">
        <v>308.77193</v>
      </c>
      <c r="AS972" s="1">
        <v>77.192980000000006</v>
      </c>
      <c r="AT972" s="2">
        <v>10.807017200000001</v>
      </c>
      <c r="AU972" s="1">
        <v>0</v>
      </c>
      <c r="AV972" s="1" t="s">
        <v>69</v>
      </c>
      <c r="AW972" s="1">
        <v>256.97800000000001</v>
      </c>
      <c r="AX972" s="1">
        <f>Table1[[#This Row],[Original Commissionable GMV]]-Table1[[#This Row],[Commission ]]-Table1[[#This Row],[Commission VAT]]-Table1[[#This Row],[FreeDeliveryFund]]</f>
        <v>220.7719328</v>
      </c>
    </row>
    <row r="973" spans="12:50" x14ac:dyDescent="0.25">
      <c r="L973" s="2">
        <v>504016</v>
      </c>
      <c r="M973" s="2" t="s">
        <v>52</v>
      </c>
      <c r="N973" s="2">
        <v>505837</v>
      </c>
      <c r="O973" t="s">
        <v>53</v>
      </c>
      <c r="P973">
        <v>3430869924</v>
      </c>
      <c r="Q973" s="2">
        <v>46053.815057870372</v>
      </c>
      <c r="R973" s="5" t="s">
        <v>54</v>
      </c>
      <c r="S973" s="2" t="s">
        <v>51</v>
      </c>
      <c r="T973" s="2" t="s">
        <v>55</v>
      </c>
      <c r="U973" s="2" t="s">
        <v>56</v>
      </c>
      <c r="V973" s="2" t="s">
        <v>57</v>
      </c>
      <c r="Y973" s="2">
        <v>986.65</v>
      </c>
      <c r="Z973" s="1">
        <v>986.65</v>
      </c>
      <c r="AA973" s="1">
        <v>0</v>
      </c>
      <c r="AB973" s="1">
        <v>29.99</v>
      </c>
      <c r="AC973" s="1">
        <v>0</v>
      </c>
      <c r="AD973" s="1">
        <v>124.85053000000001</v>
      </c>
      <c r="AE973" s="1">
        <v>1016.64</v>
      </c>
      <c r="AH973" s="1">
        <v>0</v>
      </c>
      <c r="AL973" s="1">
        <v>0</v>
      </c>
      <c r="AM973" s="1">
        <v>0</v>
      </c>
      <c r="AN973" s="1">
        <v>0</v>
      </c>
      <c r="AO973" s="1">
        <v>17.266375</v>
      </c>
      <c r="AP973" s="1">
        <v>2.4172924999999998</v>
      </c>
      <c r="AQ973" s="1">
        <v>865.48245999999995</v>
      </c>
      <c r="AR973" s="1">
        <v>865.48245999999995</v>
      </c>
      <c r="AS973" s="1">
        <v>216.37062</v>
      </c>
      <c r="AT973" s="2">
        <v>30.2918868</v>
      </c>
      <c r="AU973" s="1">
        <v>34.99</v>
      </c>
      <c r="AV973" s="1" t="s">
        <v>60</v>
      </c>
      <c r="AW973" s="1">
        <v>685.31399999999996</v>
      </c>
      <c r="AX973" s="1">
        <f>Table1[[#This Row],[Original Commissionable GMV]]-Table1[[#This Row],[Commission ]]-Table1[[#This Row],[Commission VAT]]-Table1[[#This Row],[FreeDeliveryFund]]</f>
        <v>583.82995319999986</v>
      </c>
    </row>
    <row r="974" spans="12:50" x14ac:dyDescent="0.25">
      <c r="L974" s="2">
        <v>504016</v>
      </c>
      <c r="M974" s="2" t="s">
        <v>52</v>
      </c>
      <c r="N974" s="2">
        <v>505837</v>
      </c>
      <c r="O974" t="s">
        <v>53</v>
      </c>
      <c r="P974">
        <v>3430896981</v>
      </c>
      <c r="Q974" s="2">
        <v>46053.82298611111</v>
      </c>
      <c r="R974" s="5" t="s">
        <v>54</v>
      </c>
      <c r="S974" s="2" t="s">
        <v>51</v>
      </c>
      <c r="T974" s="2" t="s">
        <v>55</v>
      </c>
      <c r="U974" s="2" t="s">
        <v>59</v>
      </c>
      <c r="V974" s="2" t="s">
        <v>57</v>
      </c>
      <c r="Y974" s="2">
        <v>852.98</v>
      </c>
      <c r="Z974" s="1">
        <v>852.98</v>
      </c>
      <c r="AA974" s="1">
        <v>0</v>
      </c>
      <c r="AB974" s="1">
        <v>29.99</v>
      </c>
      <c r="AC974" s="1">
        <v>0</v>
      </c>
      <c r="AD974" s="1">
        <v>108.43491</v>
      </c>
      <c r="AE974" s="1">
        <v>882.97</v>
      </c>
      <c r="AH974" s="1">
        <v>0</v>
      </c>
      <c r="AL974" s="1">
        <v>0</v>
      </c>
      <c r="AM974" s="1">
        <v>0</v>
      </c>
      <c r="AN974" s="1">
        <v>0</v>
      </c>
      <c r="AO974" s="1">
        <v>14.927149999999999</v>
      </c>
      <c r="AP974" s="1">
        <v>2.089801</v>
      </c>
      <c r="AQ974" s="1">
        <v>748.22807</v>
      </c>
      <c r="AR974" s="1">
        <v>748.22807</v>
      </c>
      <c r="AS974" s="1">
        <v>187.05701999999999</v>
      </c>
      <c r="AT974" s="2">
        <v>26.1879828</v>
      </c>
      <c r="AU974" s="1">
        <v>34.99</v>
      </c>
      <c r="AV974" s="1" t="s">
        <v>60</v>
      </c>
      <c r="AW974" s="1">
        <v>587.72799999999995</v>
      </c>
      <c r="AX974" s="1">
        <f>Table1[[#This Row],[Original Commissionable GMV]]-Table1[[#This Row],[Commission ]]-Table1[[#This Row],[Commission VAT]]-Table1[[#This Row],[FreeDeliveryFund]]</f>
        <v>499.99306720000004</v>
      </c>
    </row>
    <row r="975" spans="12:50" x14ac:dyDescent="0.25">
      <c r="L975" s="2">
        <v>504016</v>
      </c>
      <c r="M975" s="2" t="s">
        <v>52</v>
      </c>
      <c r="N975" s="2">
        <v>505839</v>
      </c>
      <c r="O975" t="s">
        <v>63</v>
      </c>
      <c r="P975">
        <v>3431032505</v>
      </c>
      <c r="Q975" s="2">
        <v>46053.864004629628</v>
      </c>
      <c r="R975" s="5" t="s">
        <v>54</v>
      </c>
      <c r="S975" s="2" t="s">
        <v>51</v>
      </c>
      <c r="T975" s="2" t="s">
        <v>55</v>
      </c>
      <c r="U975" s="2" t="s">
        <v>59</v>
      </c>
      <c r="V975" s="2" t="s">
        <v>57</v>
      </c>
      <c r="Y975" s="2">
        <v>904.97</v>
      </c>
      <c r="Z975" s="1">
        <v>904.97</v>
      </c>
      <c r="AA975" s="1">
        <v>29.99</v>
      </c>
      <c r="AB975" s="1">
        <v>29.99</v>
      </c>
      <c r="AC975" s="1">
        <v>0</v>
      </c>
      <c r="AD975" s="1">
        <v>118.50263</v>
      </c>
      <c r="AE975" s="1">
        <v>964.95</v>
      </c>
      <c r="AH975" s="1">
        <v>0</v>
      </c>
      <c r="AL975" s="1">
        <v>0</v>
      </c>
      <c r="AM975" s="1">
        <v>0</v>
      </c>
      <c r="AN975" s="1">
        <v>0</v>
      </c>
      <c r="AO975" s="1">
        <v>15.836975000000001</v>
      </c>
      <c r="AP975" s="1">
        <v>2.2171764999999999</v>
      </c>
      <c r="AQ975" s="1">
        <v>793.83333000000005</v>
      </c>
      <c r="AR975" s="1">
        <v>793.83333000000005</v>
      </c>
      <c r="AS975" s="1">
        <v>198.45832999999999</v>
      </c>
      <c r="AT975" s="2">
        <v>27.784166200000001</v>
      </c>
      <c r="AU975" s="1">
        <v>0</v>
      </c>
      <c r="AV975" s="1" t="s">
        <v>69</v>
      </c>
      <c r="AW975" s="1">
        <v>660.673</v>
      </c>
      <c r="AX975" s="1">
        <f>Table1[[#This Row],[Original Commissionable GMV]]-Table1[[#This Row],[Commission ]]-Table1[[#This Row],[Commission VAT]]-Table1[[#This Row],[FreeDeliveryFund]]</f>
        <v>567.59083380000004</v>
      </c>
    </row>
    <row r="976" spans="12:50" x14ac:dyDescent="0.25">
      <c r="L976" s="2">
        <v>504016</v>
      </c>
      <c r="M976" s="2" t="s">
        <v>52</v>
      </c>
      <c r="N976" s="2">
        <v>505839</v>
      </c>
      <c r="O976" t="s">
        <v>65</v>
      </c>
      <c r="P976">
        <v>3431099970</v>
      </c>
      <c r="Q976" s="2">
        <v>46053.886562500003</v>
      </c>
      <c r="R976" s="5" t="s">
        <v>62</v>
      </c>
      <c r="S976" s="2" t="s">
        <v>51</v>
      </c>
      <c r="T976" s="2" t="s">
        <v>55</v>
      </c>
      <c r="U976" s="2" t="s">
        <v>56</v>
      </c>
      <c r="V976" s="2" t="s">
        <v>57</v>
      </c>
      <c r="Y976" s="2">
        <v>482.66</v>
      </c>
      <c r="Z976" s="1">
        <v>482.66</v>
      </c>
      <c r="AA976" s="1">
        <v>36.99</v>
      </c>
      <c r="AB976" s="1">
        <v>24.13</v>
      </c>
      <c r="AC976" s="1">
        <v>0</v>
      </c>
      <c r="AD976" s="1">
        <v>66.78</v>
      </c>
      <c r="AE976" s="1">
        <v>543.78</v>
      </c>
      <c r="AH976" s="1">
        <v>0</v>
      </c>
      <c r="AL976" s="1">
        <v>0</v>
      </c>
      <c r="AM976" s="1">
        <v>30</v>
      </c>
      <c r="AN976" s="1">
        <v>4.2</v>
      </c>
      <c r="AO976" s="1">
        <v>0</v>
      </c>
      <c r="AP976" s="1">
        <v>0</v>
      </c>
      <c r="AQ976" s="1">
        <v>423.38596000000001</v>
      </c>
      <c r="AR976" s="1">
        <v>423.38596000000001</v>
      </c>
      <c r="AS976" s="1">
        <v>105.84649</v>
      </c>
      <c r="AT976" s="2">
        <v>14.818508599999999</v>
      </c>
      <c r="AU976" s="1">
        <v>0</v>
      </c>
      <c r="AV976" s="1" t="s">
        <v>69</v>
      </c>
      <c r="AW976" s="1">
        <v>327.79500000000002</v>
      </c>
      <c r="AX976" s="1">
        <f>Table1[[#This Row],[Original Commissionable GMV]]-Table1[[#This Row],[Commission ]]-Table1[[#This Row],[Commission VAT]]-Table1[[#This Row],[FreeDeliveryFund]]</f>
        <v>302.72096140000002</v>
      </c>
    </row>
    <row r="977" spans="12:50" x14ac:dyDescent="0.25">
      <c r="L977" s="2">
        <v>504016</v>
      </c>
      <c r="M977" s="2" t="s">
        <v>52</v>
      </c>
      <c r="N977" s="2">
        <v>505839</v>
      </c>
      <c r="O977" t="s">
        <v>53</v>
      </c>
      <c r="P977">
        <v>3431166218</v>
      </c>
      <c r="Q977" s="2">
        <v>46053.911053240743</v>
      </c>
      <c r="R977" s="5" t="s">
        <v>54</v>
      </c>
      <c r="S977" s="2" t="s">
        <v>51</v>
      </c>
      <c r="T977" s="2" t="s">
        <v>55</v>
      </c>
      <c r="U977" s="2" t="s">
        <v>56</v>
      </c>
      <c r="V977" s="2" t="s">
        <v>57</v>
      </c>
      <c r="Y977" s="2">
        <v>904.97</v>
      </c>
      <c r="Z977" s="1">
        <v>904.97</v>
      </c>
      <c r="AA977" s="1">
        <v>32.99</v>
      </c>
      <c r="AB977" s="1">
        <v>29.99</v>
      </c>
      <c r="AC977" s="1">
        <v>0</v>
      </c>
      <c r="AD977" s="1">
        <v>118.87105</v>
      </c>
      <c r="AE977" s="1">
        <v>967.95</v>
      </c>
      <c r="AH977" s="1">
        <v>0</v>
      </c>
      <c r="AL977" s="1">
        <v>79.349999999999994</v>
      </c>
      <c r="AM977" s="1">
        <v>0</v>
      </c>
      <c r="AN977" s="1">
        <v>0</v>
      </c>
      <c r="AO977" s="1">
        <v>15.836975000000001</v>
      </c>
      <c r="AP977" s="1">
        <v>2.2171764999999999</v>
      </c>
      <c r="AQ977" s="1">
        <v>793.83333000000005</v>
      </c>
      <c r="AR977" s="1">
        <v>793.83333000000005</v>
      </c>
      <c r="AS977" s="1">
        <v>198.45832999999999</v>
      </c>
      <c r="AT977" s="2">
        <v>27.784166200000001</v>
      </c>
      <c r="AU977" s="1">
        <v>0</v>
      </c>
      <c r="AV977" s="1" t="s">
        <v>69</v>
      </c>
      <c r="AW977" s="1">
        <v>660.673</v>
      </c>
      <c r="AX977" s="1">
        <f>Table1[[#This Row],[Original Commissionable GMV]]-Table1[[#This Row],[Commission ]]-Table1[[#This Row],[Commission VAT]]-Table1[[#This Row],[FreeDeliveryFund]]</f>
        <v>567.59083380000004</v>
      </c>
    </row>
    <row r="978" spans="12:50" x14ac:dyDescent="0.25">
      <c r="L978" s="2">
        <v>504016</v>
      </c>
      <c r="M978" s="2" t="s">
        <v>52</v>
      </c>
      <c r="N978" s="2">
        <v>505837</v>
      </c>
      <c r="O978" t="s">
        <v>53</v>
      </c>
      <c r="P978">
        <v>3431195240</v>
      </c>
      <c r="Q978" s="2">
        <v>46053.922696759262</v>
      </c>
      <c r="R978" s="5" t="s">
        <v>54</v>
      </c>
      <c r="S978" s="2" t="s">
        <v>51</v>
      </c>
      <c r="T978" s="2" t="s">
        <v>55</v>
      </c>
      <c r="U978" s="2" t="s">
        <v>59</v>
      </c>
      <c r="V978" s="2" t="s">
        <v>57</v>
      </c>
      <c r="Y978" s="2">
        <v>294.99</v>
      </c>
      <c r="Z978" s="1">
        <v>294.99</v>
      </c>
      <c r="AA978" s="1">
        <v>0</v>
      </c>
      <c r="AB978" s="1">
        <v>14.75</v>
      </c>
      <c r="AC978" s="1">
        <v>0</v>
      </c>
      <c r="AD978" s="1">
        <v>38.038249999999998</v>
      </c>
      <c r="AE978" s="1">
        <v>309.74</v>
      </c>
      <c r="AH978" s="1">
        <v>0</v>
      </c>
      <c r="AL978" s="1">
        <v>0</v>
      </c>
      <c r="AM978" s="1">
        <v>0</v>
      </c>
      <c r="AN978" s="1">
        <v>0</v>
      </c>
      <c r="AO978" s="1">
        <v>5.1623250000000001</v>
      </c>
      <c r="AP978" s="1">
        <v>0.72272550000000002</v>
      </c>
      <c r="AQ978" s="1">
        <v>258.76316000000003</v>
      </c>
      <c r="AR978" s="1">
        <v>258.76316000000003</v>
      </c>
      <c r="AS978" s="1">
        <v>64.690790000000007</v>
      </c>
      <c r="AT978" s="2">
        <v>9.0567106000000006</v>
      </c>
      <c r="AU978" s="1">
        <v>32.99</v>
      </c>
      <c r="AV978" s="1" t="s">
        <v>60</v>
      </c>
      <c r="AW978" s="1">
        <v>182.36699999999999</v>
      </c>
      <c r="AX978" s="1">
        <f>Table1[[#This Row],[Original Commissionable GMV]]-Table1[[#This Row],[Commission ]]-Table1[[#This Row],[Commission VAT]]-Table1[[#This Row],[FreeDeliveryFund]]</f>
        <v>152.02565940000002</v>
      </c>
    </row>
    <row r="979" spans="12:50" x14ac:dyDescent="0.25">
      <c r="L979" s="2">
        <v>504016</v>
      </c>
      <c r="M979" s="2" t="s">
        <v>52</v>
      </c>
      <c r="N979" s="2">
        <v>505839</v>
      </c>
      <c r="O979" t="s">
        <v>65</v>
      </c>
      <c r="P979">
        <v>3431196225</v>
      </c>
      <c r="Q979" s="2">
        <v>46053.923113425924</v>
      </c>
      <c r="R979" s="5" t="s">
        <v>62</v>
      </c>
      <c r="S979" s="2" t="s">
        <v>51</v>
      </c>
      <c r="T979" s="2" t="s">
        <v>55</v>
      </c>
      <c r="U979" s="2" t="s">
        <v>56</v>
      </c>
      <c r="V979" s="2" t="s">
        <v>57</v>
      </c>
      <c r="Y979" s="2">
        <v>702.97</v>
      </c>
      <c r="Z979" s="1">
        <v>702.97</v>
      </c>
      <c r="AA979" s="1">
        <v>27.99</v>
      </c>
      <c r="AB979" s="1">
        <v>29.99</v>
      </c>
      <c r="AC979" s="1">
        <v>0</v>
      </c>
      <c r="AD979" s="1">
        <v>93.45</v>
      </c>
      <c r="AE979" s="1">
        <v>760.95</v>
      </c>
      <c r="AH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616.64035000000001</v>
      </c>
      <c r="AR979" s="1">
        <v>616.64035000000001</v>
      </c>
      <c r="AS979" s="1">
        <v>154.16009</v>
      </c>
      <c r="AT979" s="2">
        <v>21.582412600000001</v>
      </c>
      <c r="AU979" s="1">
        <v>0</v>
      </c>
      <c r="AV979" s="1" t="s">
        <v>69</v>
      </c>
      <c r="AW979" s="1">
        <v>527.22699999999998</v>
      </c>
      <c r="AX979" s="1">
        <f>Table1[[#This Row],[Original Commissionable GMV]]-Table1[[#This Row],[Commission ]]-Table1[[#This Row],[Commission VAT]]-Table1[[#This Row],[FreeDeliveryFund]]</f>
        <v>440.89784740000005</v>
      </c>
    </row>
    <row r="980" spans="12:50" x14ac:dyDescent="0.25">
      <c r="L980" s="2">
        <v>504016</v>
      </c>
      <c r="M980" s="2" t="s">
        <v>52</v>
      </c>
      <c r="N980" s="2">
        <v>505839</v>
      </c>
      <c r="O980" t="s">
        <v>53</v>
      </c>
      <c r="P980">
        <v>3431204407</v>
      </c>
      <c r="Q980" s="2">
        <v>46053.926631944443</v>
      </c>
      <c r="R980" s="5" t="s">
        <v>54</v>
      </c>
      <c r="S980" s="2" t="s">
        <v>51</v>
      </c>
      <c r="T980" s="2" t="s">
        <v>55</v>
      </c>
      <c r="U980" s="2" t="s">
        <v>56</v>
      </c>
      <c r="V980" s="2" t="s">
        <v>57</v>
      </c>
      <c r="Y980" s="2">
        <v>605.97</v>
      </c>
      <c r="Z980" s="1">
        <v>605.97</v>
      </c>
      <c r="AA980" s="1">
        <v>9</v>
      </c>
      <c r="AB980" s="1">
        <v>29.99</v>
      </c>
      <c r="AC980" s="1">
        <v>0</v>
      </c>
      <c r="AD980" s="1">
        <v>79.205609999999993</v>
      </c>
      <c r="AE980" s="1">
        <v>644.96</v>
      </c>
      <c r="AH980" s="1">
        <v>0</v>
      </c>
      <c r="AL980" s="1">
        <v>0</v>
      </c>
      <c r="AM980" s="1">
        <v>0</v>
      </c>
      <c r="AN980" s="1">
        <v>0</v>
      </c>
      <c r="AO980" s="1">
        <v>10.604475000000001</v>
      </c>
      <c r="AP980" s="1">
        <v>1.4846265000000001</v>
      </c>
      <c r="AQ980" s="1">
        <v>531.55263000000002</v>
      </c>
      <c r="AR980" s="1">
        <v>531.55263000000002</v>
      </c>
      <c r="AS980" s="1">
        <v>132.88816</v>
      </c>
      <c r="AT980" s="2">
        <v>18.6043424</v>
      </c>
      <c r="AU980" s="1">
        <v>36.99</v>
      </c>
      <c r="AV980" s="1" t="s">
        <v>60</v>
      </c>
      <c r="AW980" s="1">
        <v>405.39800000000002</v>
      </c>
      <c r="AX980" s="1">
        <f>Table1[[#This Row],[Original Commissionable GMV]]-Table1[[#This Row],[Commission ]]-Table1[[#This Row],[Commission VAT]]-Table1[[#This Row],[FreeDeliveryFund]]</f>
        <v>343.07012760000003</v>
      </c>
    </row>
    <row r="981" spans="12:50" x14ac:dyDescent="0.25">
      <c r="L981" s="2">
        <v>504016</v>
      </c>
      <c r="M981" s="2" t="s">
        <v>52</v>
      </c>
      <c r="N981" s="2">
        <v>505835</v>
      </c>
      <c r="O981" t="s">
        <v>53</v>
      </c>
      <c r="P981">
        <v>3431205055</v>
      </c>
      <c r="Q981" s="2">
        <v>46053.92690972222</v>
      </c>
      <c r="R981" s="5" t="s">
        <v>54</v>
      </c>
      <c r="S981" s="2" t="s">
        <v>51</v>
      </c>
      <c r="T981" s="2" t="s">
        <v>55</v>
      </c>
      <c r="U981" s="2" t="s">
        <v>56</v>
      </c>
      <c r="V981" s="2" t="s">
        <v>57</v>
      </c>
      <c r="Y981" s="2">
        <v>399.98</v>
      </c>
      <c r="Z981" s="1">
        <v>399.98</v>
      </c>
      <c r="AA981" s="1">
        <v>0</v>
      </c>
      <c r="AB981" s="1">
        <v>20</v>
      </c>
      <c r="AC981" s="1">
        <v>0</v>
      </c>
      <c r="AD981" s="1">
        <v>51.57649</v>
      </c>
      <c r="AE981" s="1">
        <v>419.98</v>
      </c>
      <c r="AH981" s="1">
        <v>0</v>
      </c>
      <c r="AL981" s="1">
        <v>0</v>
      </c>
      <c r="AM981" s="1">
        <v>0</v>
      </c>
      <c r="AN981" s="1">
        <v>0</v>
      </c>
      <c r="AO981" s="1">
        <v>6.9996499999999999</v>
      </c>
      <c r="AP981" s="1">
        <v>0.97995100000000002</v>
      </c>
      <c r="AQ981" s="1">
        <v>350.85964999999999</v>
      </c>
      <c r="AR981" s="1">
        <v>350.85964999999999</v>
      </c>
      <c r="AS981" s="1">
        <v>87.714910000000003</v>
      </c>
      <c r="AT981" s="2">
        <v>12.280087399999999</v>
      </c>
      <c r="AU981" s="1">
        <v>33.99</v>
      </c>
      <c r="AV981" s="1" t="s">
        <v>60</v>
      </c>
      <c r="AW981" s="1">
        <v>258.01499999999999</v>
      </c>
      <c r="AX981" s="1">
        <f>Table1[[#This Row],[Original Commissionable GMV]]-Table1[[#This Row],[Commission ]]-Table1[[#This Row],[Commission VAT]]-Table1[[#This Row],[FreeDeliveryFund]]</f>
        <v>216.87465259999993</v>
      </c>
    </row>
    <row r="982" spans="12:50" x14ac:dyDescent="0.25">
      <c r="L982" s="2">
        <v>504016</v>
      </c>
      <c r="M982" s="2" t="s">
        <v>52</v>
      </c>
      <c r="N982" s="2">
        <v>505839</v>
      </c>
      <c r="O982" t="s">
        <v>63</v>
      </c>
      <c r="P982">
        <v>3431230533</v>
      </c>
      <c r="Q982" s="2">
        <v>46053.938321759262</v>
      </c>
      <c r="R982" s="5" t="s">
        <v>62</v>
      </c>
      <c r="S982" s="2" t="s">
        <v>51</v>
      </c>
      <c r="T982" s="2" t="s">
        <v>55</v>
      </c>
      <c r="U982" s="2" t="s">
        <v>56</v>
      </c>
      <c r="V982" s="2" t="s">
        <v>57</v>
      </c>
      <c r="Y982" s="2">
        <v>645.98</v>
      </c>
      <c r="Z982" s="1">
        <v>645.98</v>
      </c>
      <c r="AA982" s="1">
        <v>0</v>
      </c>
      <c r="AB982" s="1">
        <v>29.99</v>
      </c>
      <c r="AC982" s="1">
        <v>0</v>
      </c>
      <c r="AD982" s="1">
        <v>83.013859999999994</v>
      </c>
      <c r="AE982" s="1">
        <v>675.97</v>
      </c>
      <c r="AH982" s="1">
        <v>0</v>
      </c>
      <c r="AL982" s="1">
        <v>47.85</v>
      </c>
      <c r="AM982" s="1">
        <v>0</v>
      </c>
      <c r="AN982" s="1">
        <v>0</v>
      </c>
      <c r="AO982" s="1">
        <v>0</v>
      </c>
      <c r="AP982" s="1">
        <v>0</v>
      </c>
      <c r="AQ982" s="1">
        <v>566.64912000000004</v>
      </c>
      <c r="AR982" s="1">
        <v>566.64912000000004</v>
      </c>
      <c r="AS982" s="1">
        <v>141.66228000000001</v>
      </c>
      <c r="AT982" s="2">
        <v>19.8327192</v>
      </c>
      <c r="AU982" s="1">
        <v>26.99</v>
      </c>
      <c r="AV982" s="1" t="s">
        <v>60</v>
      </c>
      <c r="AW982" s="1">
        <v>457.495</v>
      </c>
      <c r="AX982" s="1">
        <f>Table1[[#This Row],[Original Commissionable GMV]]-Table1[[#This Row],[Commission ]]-Table1[[#This Row],[Commission VAT]]-Table1[[#This Row],[FreeDeliveryFund]]</f>
        <v>378.16412080000003</v>
      </c>
    </row>
    <row r="983" spans="12:50" x14ac:dyDescent="0.25">
      <c r="L983" s="2">
        <v>504016</v>
      </c>
      <c r="M983" s="2" t="s">
        <v>52</v>
      </c>
      <c r="N983" s="2">
        <v>505837</v>
      </c>
      <c r="O983" t="s">
        <v>53</v>
      </c>
      <c r="P983">
        <v>3431309135</v>
      </c>
      <c r="Q983" s="2">
        <v>46053.98065972222</v>
      </c>
      <c r="R983" s="5" t="s">
        <v>66</v>
      </c>
      <c r="S983" s="2" t="s">
        <v>51</v>
      </c>
      <c r="T983" s="2" t="s">
        <v>55</v>
      </c>
      <c r="U983" s="2" t="s">
        <v>56</v>
      </c>
      <c r="V983" s="2" t="s">
        <v>57</v>
      </c>
      <c r="Y983" s="2">
        <v>807.98</v>
      </c>
      <c r="Z983" s="1">
        <v>807.98</v>
      </c>
      <c r="AA983" s="1">
        <v>9</v>
      </c>
      <c r="AB983" s="1">
        <v>29.99</v>
      </c>
      <c r="AC983" s="1">
        <v>0</v>
      </c>
      <c r="AD983" s="1">
        <v>104.01385999999999</v>
      </c>
      <c r="AE983" s="1">
        <v>846.97</v>
      </c>
      <c r="AH983" s="1">
        <v>0</v>
      </c>
      <c r="AL983" s="1">
        <v>0</v>
      </c>
      <c r="AM983" s="1">
        <v>0</v>
      </c>
      <c r="AN983" s="1">
        <v>0</v>
      </c>
      <c r="AO983" s="1">
        <v>14.13965</v>
      </c>
      <c r="AP983" s="1">
        <v>1.9795510000000001</v>
      </c>
      <c r="AQ983" s="1">
        <v>708.75438999999994</v>
      </c>
      <c r="AR983" s="1">
        <v>708.75438999999994</v>
      </c>
      <c r="AS983" s="1">
        <v>177.18860000000001</v>
      </c>
      <c r="AT983" s="2">
        <v>24.806404000000001</v>
      </c>
      <c r="AU983" s="1">
        <v>34.99</v>
      </c>
      <c r="AV983" s="1" t="s">
        <v>60</v>
      </c>
      <c r="AW983" s="1">
        <v>554.87599999999998</v>
      </c>
      <c r="AX983" s="1">
        <f>Table1[[#This Row],[Original Commissionable GMV]]-Table1[[#This Row],[Commission ]]-Table1[[#This Row],[Commission VAT]]-Table1[[#This Row],[FreeDeliveryFund]]</f>
        <v>471.76938599999988</v>
      </c>
    </row>
    <row r="984" spans="12:50" x14ac:dyDescent="0.25">
      <c r="L984" s="2">
        <v>504016</v>
      </c>
      <c r="M984" s="2" t="s">
        <v>52</v>
      </c>
      <c r="N984" s="2">
        <v>505837</v>
      </c>
      <c r="O984" t="s">
        <v>53</v>
      </c>
      <c r="P984">
        <v>3431318473</v>
      </c>
      <c r="Q984" s="2">
        <v>46053.986759259256</v>
      </c>
      <c r="R984" s="5" t="s">
        <v>62</v>
      </c>
      <c r="S984" s="2" t="s">
        <v>51</v>
      </c>
      <c r="T984" s="2" t="s">
        <v>55</v>
      </c>
      <c r="U984" s="2" t="s">
        <v>56</v>
      </c>
      <c r="V984" s="2" t="s">
        <v>57</v>
      </c>
      <c r="Y984" s="2">
        <v>447.18</v>
      </c>
      <c r="Z984" s="1">
        <v>447.18</v>
      </c>
      <c r="AA984" s="1">
        <v>32.99</v>
      </c>
      <c r="AB984" s="1">
        <v>22.36</v>
      </c>
      <c r="AC984" s="1">
        <v>0</v>
      </c>
      <c r="AD984" s="1">
        <v>61.714210000000001</v>
      </c>
      <c r="AE984" s="1">
        <v>502.53</v>
      </c>
      <c r="AH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392.26316000000003</v>
      </c>
      <c r="AR984" s="1">
        <v>392.26316000000003</v>
      </c>
      <c r="AS984" s="1">
        <v>98.065790000000007</v>
      </c>
      <c r="AT984" s="2">
        <v>13.7292106</v>
      </c>
      <c r="AU984" s="1">
        <v>0</v>
      </c>
      <c r="AV984" s="1" t="s">
        <v>69</v>
      </c>
      <c r="AW984" s="1">
        <v>335.38499999999999</v>
      </c>
      <c r="AX984" s="1">
        <f>Table1[[#This Row],[Original Commissionable GMV]]-Table1[[#This Row],[Commission ]]-Table1[[#This Row],[Commission VAT]]-Table1[[#This Row],[FreeDeliveryFund]]</f>
        <v>280.46815940000005</v>
      </c>
    </row>
    <row r="985" spans="12:50" x14ac:dyDescent="0.25">
      <c r="L985" s="2">
        <f>SUBTOTAL(101,Table1[Restaurant Id])</f>
        <v>504016</v>
      </c>
      <c r="M985" s="2" t="e">
        <f>SUBTOTAL(101,Table1[Restaurant])</f>
        <v>#DIV/0!</v>
      </c>
      <c r="N985" s="2">
        <f>SUBTOTAL(101,Table1[Branch Id])</f>
        <v>505837.77471967379</v>
      </c>
      <c r="O985" s="2" t="e">
        <f>SUBTOTAL(101,Table1[Branch])</f>
        <v>#DIV/0!</v>
      </c>
      <c r="P985" s="2">
        <f>SUBTOTAL(101,Table1[Order Id])</f>
        <v>3404559597.4046893</v>
      </c>
      <c r="Q985" s="5">
        <f>SUBTOTAL(101,Table1[Date / Time])</f>
        <v>46039.549092314126</v>
      </c>
      <c r="R985" s="2" t="e">
        <f>SUBTOTAL(101,Table1[Payment Method])</f>
        <v>#DIV/0!</v>
      </c>
      <c r="S985" s="2" t="e">
        <f>SUBTOTAL(101,Table1[Status])</f>
        <v>#DIV/0!</v>
      </c>
      <c r="T985" s="2" t="e">
        <f>SUBTOTAL(101,Table1[Service Type])</f>
        <v>#DIV/0!</v>
      </c>
      <c r="U985" s="2" t="e">
        <f>SUBTOTAL(101,Table1[Is TPro])</f>
        <v>#DIV/0!</v>
      </c>
      <c r="V985" s="2" t="e">
        <f>SUBTOTAL(101,Table1[VAT Type])</f>
        <v>#DIV/0!</v>
      </c>
      <c r="W985" s="2" t="e">
        <f>SUBTOTAL(101,Table1[Rider Payment Type])</f>
        <v>#DIV/0!</v>
      </c>
      <c r="X985" s="2" t="e">
        <f>SUBTOTAL(101,Table1[Delivery Charges Included in Commission])</f>
        <v>#DIV/0!</v>
      </c>
      <c r="Y985" s="1">
        <f>SUBTOTAL(109,Table1[SubTotal])</f>
        <v>628921.69999999576</v>
      </c>
      <c r="Z985" s="1">
        <f>SUBTOTAL(109,Table1[Item Level Order SubTotal])</f>
        <v>630747.88999999571</v>
      </c>
      <c r="AA985" s="1">
        <f>SUBTOTAL(109,Table1[Delivery Charges])</f>
        <v>14193.959999999926</v>
      </c>
      <c r="AB985" s="1">
        <f>SUBTOTAL(109,Table1[Service Fee])</f>
        <v>22997.240000000176</v>
      </c>
      <c r="AC985" s="1">
        <f>SUBTOTAL(109,Table1[Small Order Fee])</f>
        <v>20</v>
      </c>
      <c r="AD985" s="1">
        <f>SUBTOTAL(109,Table1[VAT Amount])</f>
        <v>81520.491849999875</v>
      </c>
      <c r="AE985" s="1">
        <f>SUBTOTAL(109,Table1[Total Sale])</f>
        <v>661983.52999999805</v>
      </c>
      <c r="AF985" s="1">
        <f>SUBTOTAL(109,Table1[Original Amount])</f>
        <v>11449.000199999999</v>
      </c>
      <c r="AG985" s="1">
        <f>SUBTOTAL(109,Table1[Partial Refund Cost to Talabat])</f>
        <v>315.98</v>
      </c>
      <c r="AH985" s="1">
        <f>SUBTOTAL(109,Table1[Voucher Discount])</f>
        <v>5975.5599999999995</v>
      </c>
      <c r="AI985" s="1">
        <f>SUBTOTAL(109,Table1[Item Discount])</f>
        <v>7679.0399999999963</v>
      </c>
      <c r="AJ985" s="1">
        <f>SUBTOTAL(109,Table1[Voucher Cost To Talabat])</f>
        <v>2508.88</v>
      </c>
      <c r="AK985" s="1">
        <f>SUBTOTAL(109,Table1[Voucher Cost To Restaurant])</f>
        <v>7679.0399999999963</v>
      </c>
      <c r="AL985" s="1">
        <f>SUBTOTAL(109,Table1[Voucher Due from Talabat])</f>
        <v>3902.4499999999994</v>
      </c>
      <c r="AM985" s="1">
        <f>SUBTOTAL(109,Table1[Avoidable Wait Time Fee])</f>
        <v>2730</v>
      </c>
      <c r="AN985" s="1">
        <f>SUBTOTAL(109,Table1[Avoidable Wait Time Fee VAT])</f>
        <v>382.19999999999936</v>
      </c>
      <c r="AO985" s="1">
        <f>SUBTOTAL(109,Table1[Payment Handling Charges])</f>
        <v>8722.5208244999849</v>
      </c>
      <c r="AP985" s="1">
        <f>SUBTOTAL(109,Table1[Payment Handling Charges VAT])</f>
        <v>1221.1529154300006</v>
      </c>
      <c r="AQ985" s="1">
        <f>SUBTOTAL(109,Table1[Commissionable GMV])</f>
        <v>554178.47348999989</v>
      </c>
      <c r="AR985" s="1">
        <f>SUBTOTAL(109,Table1[Original Commissionable GMV])</f>
        <v>554178.47348999989</v>
      </c>
      <c r="AS985" s="1">
        <f>SUBTOTAL(109,Table1[[Commission ]])</f>
        <v>138544.61956000011</v>
      </c>
      <c r="AT985" s="1">
        <f>SUBTOTAL(109,Table1[Commission VAT])</f>
        <v>19396.246738399997</v>
      </c>
      <c r="AU985" s="1">
        <f>SUBTOTAL(109,Table1[FreeDeliveryFund])</f>
        <v>17173.449999999939</v>
      </c>
      <c r="AV985" s="2">
        <f>SUBTOTAL(109,Table1[Loyalty Charges Type])</f>
        <v>0</v>
      </c>
      <c r="AW985" s="1">
        <f>SUBTOTAL(109,Table1[Net Payment Per Order])</f>
        <v>437360.3760000004</v>
      </c>
    </row>
  </sheetData>
  <mergeCells count="6">
    <mergeCell ref="A1:BB1"/>
    <mergeCell ref="L2:Y2"/>
    <mergeCell ref="Z2:AG2"/>
    <mergeCell ref="AH2:AK2"/>
    <mergeCell ref="AL2:AV2"/>
    <mergeCell ref="AW2:BL2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A94C-18DB-4CAB-9CD5-CD4F00EEA593}">
  <sheetPr>
    <pageSetUpPr fitToPage="1"/>
  </sheetPr>
  <dimension ref="A1:CT988"/>
  <sheetViews>
    <sheetView tabSelected="1" topLeftCell="U1" workbookViewId="0">
      <selection activeCell="AV39" sqref="AV39"/>
    </sheetView>
  </sheetViews>
  <sheetFormatPr defaultColWidth="8.85546875" defaultRowHeight="15" x14ac:dyDescent="0.25"/>
  <cols>
    <col min="1" max="1" width="4.7109375" style="6" customWidth="1"/>
    <col min="2" max="2" width="35.85546875" style="7" bestFit="1" customWidth="1"/>
    <col min="3" max="3" width="15" style="7" bestFit="1" customWidth="1"/>
    <col min="4" max="4" width="11.28515625" style="6" bestFit="1" customWidth="1"/>
    <col min="5" max="5" width="17.7109375" style="7" bestFit="1" customWidth="1"/>
    <col min="6" max="9" width="8.85546875" style="7"/>
    <col min="10" max="10" width="13.140625" style="7" bestFit="1" customWidth="1"/>
    <col min="11" max="11" width="8.85546875" style="7"/>
    <col min="12" max="12" width="10.7109375" style="7" customWidth="1"/>
    <col min="13" max="13" width="9.85546875" style="7" customWidth="1"/>
    <col min="14" max="14" width="12.140625" style="7" bestFit="1" customWidth="1"/>
    <col min="15" max="15" width="2.140625" style="7" customWidth="1"/>
    <col min="16" max="17" width="12.140625" style="7" bestFit="1" customWidth="1"/>
    <col min="18" max="19" width="9.42578125" style="7" customWidth="1"/>
    <col min="20" max="20" width="28.28515625" style="7" bestFit="1" customWidth="1"/>
    <col min="21" max="21" width="8.85546875" style="7"/>
    <col min="22" max="22" width="13.140625" style="7" bestFit="1" customWidth="1"/>
    <col min="23" max="23" width="10" style="7" bestFit="1" customWidth="1"/>
    <col min="24" max="24" width="16.7109375" style="7" bestFit="1" customWidth="1"/>
    <col min="25" max="28" width="10" style="7" customWidth="1"/>
    <col min="29" max="30" width="13" style="7" customWidth="1"/>
    <col min="31" max="31" width="8.85546875" style="7"/>
    <col min="32" max="32" width="12.140625" style="7" bestFit="1" customWidth="1"/>
    <col min="33" max="33" width="2" style="7" hidden="1" customWidth="1"/>
    <col min="34" max="34" width="11" style="7" hidden="1" customWidth="1"/>
    <col min="35" max="46" width="8.85546875" style="7" hidden="1" customWidth="1"/>
    <col min="47" max="47" width="2.28515625" style="7" hidden="1" customWidth="1"/>
    <col min="48" max="48" width="8.28515625" style="9" bestFit="1" customWidth="1"/>
    <col min="49" max="49" width="11" style="9" bestFit="1" customWidth="1"/>
    <col min="50" max="50" width="9.85546875" style="9" bestFit="1" customWidth="1"/>
    <col min="51" max="51" width="8.7109375" style="9" bestFit="1" customWidth="1"/>
    <col min="52" max="53" width="11.28515625" style="9" bestFit="1" customWidth="1"/>
    <col min="54" max="54" width="10.85546875" style="9" bestFit="1" customWidth="1"/>
    <col min="55" max="55" width="2.28515625" style="9" customWidth="1"/>
    <col min="56" max="56" width="4.7109375" style="9" bestFit="1" customWidth="1"/>
    <col min="57" max="58" width="10.140625" style="9" bestFit="1" customWidth="1"/>
    <col min="59" max="59" width="10.28515625" style="9" bestFit="1" customWidth="1"/>
    <col min="60" max="60" width="13.140625" style="9" bestFit="1" customWidth="1"/>
    <col min="61" max="61" width="11.28515625" style="9" bestFit="1" customWidth="1"/>
    <col min="62" max="62" width="10.140625" style="9" bestFit="1" customWidth="1"/>
    <col min="63" max="63" width="2.140625" style="9" customWidth="1"/>
    <col min="64" max="64" width="11" style="9" hidden="1" customWidth="1"/>
    <col min="65" max="76" width="8.85546875" style="9" hidden="1" customWidth="1"/>
    <col min="77" max="77" width="2" style="9" customWidth="1"/>
    <col min="78" max="78" width="4.7109375" style="9" bestFit="1" customWidth="1"/>
    <col min="79" max="79" width="11.28515625" style="9" bestFit="1" customWidth="1"/>
    <col min="80" max="80" width="11.7109375" style="9" bestFit="1" customWidth="1"/>
    <col min="81" max="82" width="10.28515625" style="9" bestFit="1" customWidth="1"/>
    <col min="83" max="83" width="11.28515625" style="9" bestFit="1" customWidth="1"/>
    <col min="84" max="84" width="12" style="9" bestFit="1" customWidth="1"/>
    <col min="85" max="85" width="2.140625" style="7" customWidth="1"/>
    <col min="86" max="86" width="4.7109375" style="9" bestFit="1" customWidth="1"/>
    <col min="87" max="97" width="11" style="9" customWidth="1"/>
    <col min="98" max="98" width="12" style="9" bestFit="1" customWidth="1"/>
    <col min="99" max="16384" width="8.85546875" style="7"/>
  </cols>
  <sheetData>
    <row r="1" spans="1:98" ht="15.75" thickBot="1" x14ac:dyDescent="0.3">
      <c r="O1" s="8"/>
    </row>
    <row r="2" spans="1:98" ht="17.25" thickTop="1" thickBot="1" x14ac:dyDescent="0.3">
      <c r="B2" s="10" t="s">
        <v>78</v>
      </c>
      <c r="C2" s="11">
        <v>46023</v>
      </c>
      <c r="H2" s="12" t="s">
        <v>79</v>
      </c>
    </row>
    <row r="3" spans="1:98" ht="17.25" thickTop="1" thickBot="1" x14ac:dyDescent="0.3">
      <c r="I3" s="160">
        <f>H4*0.14-I4</f>
        <v>0</v>
      </c>
      <c r="J3" s="13" t="s">
        <v>80</v>
      </c>
      <c r="K3" s="14">
        <f>J4*0.14</f>
        <v>1221.1529154299981</v>
      </c>
      <c r="L3" s="15"/>
      <c r="M3" s="16"/>
      <c r="N3" s="16"/>
      <c r="P3" s="16"/>
      <c r="Q3" s="16"/>
      <c r="R3" s="16"/>
      <c r="S3" s="16"/>
      <c r="BJ3" s="9">
        <f>BJ14-BJ17</f>
        <v>-7.7800000000004843</v>
      </c>
      <c r="CF3" s="9">
        <f>CF31+CF34</f>
        <v>109.02999999999975</v>
      </c>
    </row>
    <row r="4" spans="1:98" ht="33.6" customHeight="1" thickTop="1" thickBot="1" x14ac:dyDescent="0.3">
      <c r="A4" s="17"/>
      <c r="B4" s="18"/>
      <c r="C4" s="19" t="s">
        <v>81</v>
      </c>
      <c r="D4" s="20"/>
      <c r="E4" s="21"/>
      <c r="F4" s="22">
        <f t="shared" ref="F4:N4" si="0">SUBTOTAL(9,F8:F988)</f>
        <v>625449.66999999573</v>
      </c>
      <c r="G4" s="22">
        <f t="shared" si="0"/>
        <v>550264.82713999972</v>
      </c>
      <c r="H4" s="23">
        <f t="shared" si="0"/>
        <v>138544.61956000011</v>
      </c>
      <c r="I4" s="22">
        <f t="shared" si="0"/>
        <v>19396.246738399997</v>
      </c>
      <c r="J4" s="23">
        <f t="shared" si="0"/>
        <v>8722.5208244999849</v>
      </c>
      <c r="K4" s="23">
        <f t="shared" si="0"/>
        <v>1221.1529154300006</v>
      </c>
      <c r="L4" s="22">
        <f t="shared" si="0"/>
        <v>15064.429824561345</v>
      </c>
      <c r="M4" s="22">
        <f t="shared" si="0"/>
        <v>2109.0201754385921</v>
      </c>
      <c r="N4" s="22">
        <f t="shared" si="0"/>
        <v>437360.3760000004</v>
      </c>
      <c r="O4" s="8"/>
      <c r="P4" s="22">
        <f>SUBTOTAL(9,P8:P988)</f>
        <v>2730</v>
      </c>
      <c r="Q4" s="22">
        <f>SUBTOTAL(9,Q8:Q988)</f>
        <v>382.19999999999936</v>
      </c>
      <c r="R4" s="22">
        <f>SUBTOTAL(9,R8:R988)</f>
        <v>15064.429824561345</v>
      </c>
      <c r="S4" s="22">
        <f>SUBTOTAL(9,S8:S988)</f>
        <v>2109.0201754385921</v>
      </c>
      <c r="BJ4" s="9">
        <f>BJ18/1.14</f>
        <v>23.473684210526311</v>
      </c>
      <c r="BX4" s="9" t="e">
        <f>BX35/1.14</f>
        <v>#REF!</v>
      </c>
      <c r="CF4" s="9">
        <f>CF3/1.14</f>
        <v>95.640350877192773</v>
      </c>
    </row>
    <row r="5" spans="1:98" ht="22.5" thickTop="1" thickBot="1" x14ac:dyDescent="0.4">
      <c r="A5" s="24"/>
      <c r="B5" s="25"/>
      <c r="C5" s="25"/>
      <c r="D5" s="26"/>
      <c r="E5" s="27" t="s">
        <v>61</v>
      </c>
      <c r="F5" s="25"/>
      <c r="G5" s="28" t="s">
        <v>82</v>
      </c>
      <c r="H5" s="25"/>
      <c r="I5" s="25"/>
      <c r="J5" s="28"/>
      <c r="K5" s="28"/>
      <c r="L5" s="25"/>
      <c r="M5" s="25"/>
      <c r="N5" s="29"/>
      <c r="O5" s="30"/>
      <c r="P5" s="29"/>
      <c r="Q5" s="29"/>
      <c r="R5" s="29"/>
      <c r="S5" s="29"/>
      <c r="T5" s="31"/>
      <c r="U5" s="32"/>
      <c r="V5" s="32"/>
      <c r="W5" s="32"/>
      <c r="X5" s="33" t="s">
        <v>83</v>
      </c>
      <c r="Y5" s="32"/>
      <c r="Z5" s="32"/>
      <c r="AA5" s="32"/>
      <c r="AB5" s="32"/>
      <c r="AC5" s="32"/>
      <c r="AD5" s="32"/>
      <c r="AF5" s="34"/>
      <c r="AH5" s="35"/>
      <c r="AI5" s="36"/>
      <c r="AJ5" s="36"/>
      <c r="AK5" s="36"/>
      <c r="AL5" s="36"/>
      <c r="AM5" s="36"/>
      <c r="AN5" s="37" t="s">
        <v>84</v>
      </c>
      <c r="AO5" s="36"/>
      <c r="AP5" s="36"/>
      <c r="AQ5" s="36"/>
      <c r="AR5" s="36"/>
      <c r="AS5" s="36"/>
      <c r="AT5" s="38"/>
      <c r="AV5" s="39"/>
      <c r="AW5" s="40"/>
      <c r="AX5" s="40"/>
      <c r="AY5" s="40"/>
      <c r="AZ5" s="40"/>
      <c r="BA5" s="40"/>
      <c r="BB5" s="41"/>
      <c r="BD5" s="39"/>
      <c r="BE5" s="40"/>
      <c r="BF5" s="40"/>
      <c r="BG5" s="40"/>
      <c r="BH5" s="40"/>
      <c r="BI5" s="40"/>
      <c r="BJ5" s="41"/>
      <c r="BL5" s="43"/>
      <c r="BM5" s="44"/>
      <c r="BN5" s="44"/>
      <c r="BO5" s="44"/>
      <c r="BP5" s="44"/>
      <c r="BQ5" s="44"/>
      <c r="BR5" s="45" t="s">
        <v>85</v>
      </c>
      <c r="BS5" s="44"/>
      <c r="BT5" s="44"/>
      <c r="BU5" s="44"/>
      <c r="BV5" s="44"/>
      <c r="BW5" s="44"/>
      <c r="BX5" s="46"/>
      <c r="BZ5" s="39"/>
      <c r="CA5" s="40"/>
      <c r="CB5" s="40"/>
      <c r="CC5" s="40"/>
      <c r="CD5" s="40"/>
      <c r="CE5" s="40"/>
      <c r="CF5" s="41"/>
      <c r="CH5" s="39"/>
      <c r="CI5" s="40"/>
      <c r="CJ5" s="40"/>
      <c r="CK5" s="40"/>
      <c r="CL5" s="40"/>
      <c r="CM5" s="40"/>
      <c r="CN5" s="42" t="s">
        <v>86</v>
      </c>
      <c r="CO5" s="40"/>
      <c r="CP5" s="40"/>
      <c r="CQ5" s="40"/>
      <c r="CR5" s="40"/>
      <c r="CS5" s="40"/>
      <c r="CT5" s="41"/>
    </row>
    <row r="6" spans="1:98" ht="22.15" customHeight="1" thickTop="1" thickBot="1" x14ac:dyDescent="0.3">
      <c r="A6" s="47"/>
      <c r="E6" s="48" t="s">
        <v>51</v>
      </c>
      <c r="G6" s="49">
        <v>3</v>
      </c>
      <c r="H6" s="50"/>
      <c r="I6" s="7" t="s">
        <v>87</v>
      </c>
      <c r="J6" s="49"/>
      <c r="K6" s="49"/>
      <c r="N6" s="51">
        <v>1</v>
      </c>
      <c r="O6" s="8"/>
      <c r="P6" s="51"/>
      <c r="Q6" s="51"/>
      <c r="R6" s="51"/>
      <c r="S6" s="51"/>
      <c r="T6" s="52"/>
      <c r="U6" s="53"/>
      <c r="V6" s="53"/>
      <c r="W6" s="53"/>
      <c r="X6" s="53"/>
      <c r="Y6" s="53"/>
      <c r="Z6" s="53"/>
      <c r="AA6" s="54"/>
      <c r="AB6" s="54"/>
      <c r="AC6" s="54"/>
      <c r="AD6" s="54"/>
      <c r="AF6" s="55" t="s">
        <v>90</v>
      </c>
      <c r="AH6" s="56"/>
      <c r="AI6" s="57"/>
      <c r="AJ6" s="57"/>
      <c r="AK6" s="57"/>
      <c r="AL6" s="58"/>
      <c r="AM6" s="59" t="s">
        <v>89</v>
      </c>
      <c r="AN6" s="60"/>
      <c r="AO6" s="58"/>
      <c r="AP6" s="61" t="s">
        <v>88</v>
      </c>
      <c r="AQ6" s="60"/>
      <c r="AR6" s="58"/>
      <c r="AS6" s="62" t="s">
        <v>91</v>
      </c>
      <c r="AT6" s="63"/>
      <c r="AV6" s="179"/>
      <c r="AW6" s="180"/>
      <c r="AX6" s="180"/>
      <c r="AY6" s="180"/>
      <c r="AZ6" s="181"/>
      <c r="BA6" s="182" t="s">
        <v>91</v>
      </c>
      <c r="BB6" s="183"/>
      <c r="BD6" s="179"/>
      <c r="BE6" s="180"/>
      <c r="BF6" s="180"/>
      <c r="BG6" s="180"/>
      <c r="BH6" s="180"/>
      <c r="BI6" s="182" t="s">
        <v>91</v>
      </c>
      <c r="BJ6" s="183"/>
      <c r="BL6" s="66"/>
      <c r="BM6" s="67"/>
      <c r="BN6" s="67"/>
      <c r="BO6" s="67"/>
      <c r="BP6" s="68"/>
      <c r="BQ6" s="69" t="s">
        <v>89</v>
      </c>
      <c r="BR6" s="70"/>
      <c r="BS6" s="68"/>
      <c r="BT6" s="69" t="s">
        <v>88</v>
      </c>
      <c r="BU6" s="70"/>
      <c r="BV6" s="68"/>
      <c r="BW6" s="69" t="s">
        <v>91</v>
      </c>
      <c r="BX6" s="71"/>
      <c r="BZ6" s="179"/>
      <c r="CA6" s="180"/>
      <c r="CB6" s="180"/>
      <c r="CC6" s="180"/>
      <c r="CD6" s="180"/>
      <c r="CE6" s="182" t="s">
        <v>91</v>
      </c>
      <c r="CF6" s="183"/>
      <c r="CH6" s="179"/>
      <c r="CI6" s="180"/>
      <c r="CJ6" s="180"/>
      <c r="CK6" s="180"/>
      <c r="CL6" s="180"/>
      <c r="CM6" s="64" t="s">
        <v>89</v>
      </c>
      <c r="CN6" s="65"/>
      <c r="CO6" s="184" t="s">
        <v>88</v>
      </c>
      <c r="CP6" s="185"/>
      <c r="CQ6" s="186"/>
      <c r="CR6" s="181" t="s">
        <v>91</v>
      </c>
      <c r="CS6" s="182"/>
      <c r="CT6" s="183"/>
    </row>
    <row r="7" spans="1:98" ht="49.5" thickTop="1" thickBot="1" x14ac:dyDescent="0.3">
      <c r="A7" s="72"/>
      <c r="B7" s="73" t="s">
        <v>21</v>
      </c>
      <c r="C7" s="73" t="s">
        <v>23</v>
      </c>
      <c r="D7" s="74" t="s">
        <v>22</v>
      </c>
      <c r="E7" s="73" t="s">
        <v>92</v>
      </c>
      <c r="F7" s="73" t="s">
        <v>93</v>
      </c>
      <c r="G7" s="75" t="s">
        <v>94</v>
      </c>
      <c r="H7" s="77" t="s">
        <v>95</v>
      </c>
      <c r="I7" s="78" t="s">
        <v>96</v>
      </c>
      <c r="J7" s="76" t="s">
        <v>43</v>
      </c>
      <c r="K7" s="76" t="s">
        <v>44</v>
      </c>
      <c r="L7" s="73" t="s">
        <v>31</v>
      </c>
      <c r="M7" s="73" t="s">
        <v>122</v>
      </c>
      <c r="N7" s="79" t="s">
        <v>29</v>
      </c>
      <c r="O7" s="8"/>
      <c r="P7" s="76" t="s">
        <v>41</v>
      </c>
      <c r="Q7" s="76" t="s">
        <v>42</v>
      </c>
      <c r="R7" s="76" t="s">
        <v>48</v>
      </c>
      <c r="S7" s="76" t="s">
        <v>102</v>
      </c>
      <c r="T7" s="80" t="s">
        <v>21</v>
      </c>
      <c r="U7" s="81" t="s">
        <v>101</v>
      </c>
      <c r="V7" s="82" t="s">
        <v>94</v>
      </c>
      <c r="W7" s="83" t="s">
        <v>95</v>
      </c>
      <c r="X7" s="83" t="s">
        <v>100</v>
      </c>
      <c r="Y7" s="76" t="s">
        <v>43</v>
      </c>
      <c r="Z7" s="76" t="s">
        <v>44</v>
      </c>
      <c r="AA7" s="76" t="s">
        <v>41</v>
      </c>
      <c r="AB7" s="76" t="s">
        <v>42</v>
      </c>
      <c r="AC7" s="76" t="str">
        <f>R7</f>
        <v>FreeDeliveryFund</v>
      </c>
      <c r="AD7" s="76" t="s">
        <v>102</v>
      </c>
      <c r="AF7" s="84"/>
      <c r="AH7" s="85" t="s">
        <v>101</v>
      </c>
      <c r="AI7" s="86" t="s">
        <v>94</v>
      </c>
      <c r="AJ7" s="87" t="s">
        <v>95</v>
      </c>
      <c r="AK7" s="87" t="s">
        <v>100</v>
      </c>
      <c r="AL7" s="88" t="s">
        <v>96</v>
      </c>
      <c r="AM7" s="88" t="s">
        <v>103</v>
      </c>
      <c r="AN7" s="89" t="s">
        <v>97</v>
      </c>
      <c r="AO7" s="90" t="s">
        <v>98</v>
      </c>
      <c r="AP7" s="90" t="s">
        <v>99</v>
      </c>
      <c r="AQ7" s="90" t="s">
        <v>97</v>
      </c>
      <c r="AR7" s="90" t="s">
        <v>104</v>
      </c>
      <c r="AS7" s="91" t="s">
        <v>105</v>
      </c>
      <c r="AT7" s="92" t="s">
        <v>97</v>
      </c>
      <c r="AV7" s="174" t="s">
        <v>101</v>
      </c>
      <c r="AW7" s="175" t="s">
        <v>94</v>
      </c>
      <c r="AX7" s="175" t="s">
        <v>95</v>
      </c>
      <c r="AY7" s="175" t="s">
        <v>100</v>
      </c>
      <c r="AZ7" s="175" t="s">
        <v>104</v>
      </c>
      <c r="BA7" s="175" t="s">
        <v>105</v>
      </c>
      <c r="BB7" s="176" t="s">
        <v>97</v>
      </c>
      <c r="BD7" s="93" t="s">
        <v>101</v>
      </c>
      <c r="BE7" s="94" t="s">
        <v>94</v>
      </c>
      <c r="BF7" s="94" t="s">
        <v>95</v>
      </c>
      <c r="BG7" s="94" t="s">
        <v>100</v>
      </c>
      <c r="BH7" s="161" t="s">
        <v>104</v>
      </c>
      <c r="BI7" s="95" t="s">
        <v>105</v>
      </c>
      <c r="BJ7" s="96" t="s">
        <v>97</v>
      </c>
      <c r="BL7" s="97" t="s">
        <v>101</v>
      </c>
      <c r="BM7" s="98" t="s">
        <v>94</v>
      </c>
      <c r="BN7" s="99" t="s">
        <v>95</v>
      </c>
      <c r="BO7" s="99" t="s">
        <v>100</v>
      </c>
      <c r="BP7" s="100" t="s">
        <v>96</v>
      </c>
      <c r="BQ7" s="100" t="s">
        <v>103</v>
      </c>
      <c r="BR7" s="101" t="s">
        <v>97</v>
      </c>
      <c r="BS7" s="102" t="s">
        <v>98</v>
      </c>
      <c r="BT7" s="102" t="s">
        <v>99</v>
      </c>
      <c r="BU7" s="102" t="s">
        <v>97</v>
      </c>
      <c r="BV7" s="102" t="s">
        <v>104</v>
      </c>
      <c r="BW7" s="102" t="s">
        <v>105</v>
      </c>
      <c r="BX7" s="103" t="s">
        <v>97</v>
      </c>
      <c r="BZ7" s="93" t="s">
        <v>101</v>
      </c>
      <c r="CA7" s="94" t="s">
        <v>94</v>
      </c>
      <c r="CB7" s="94" t="s">
        <v>95</v>
      </c>
      <c r="CC7" s="94" t="s">
        <v>100</v>
      </c>
      <c r="CD7" s="161" t="s">
        <v>104</v>
      </c>
      <c r="CE7" s="95" t="s">
        <v>105</v>
      </c>
      <c r="CF7" s="96" t="s">
        <v>97</v>
      </c>
      <c r="CH7" s="104" t="s">
        <v>101</v>
      </c>
      <c r="CI7" s="94" t="s">
        <v>94</v>
      </c>
      <c r="CJ7" s="94" t="s">
        <v>95</v>
      </c>
      <c r="CK7" s="94" t="s">
        <v>100</v>
      </c>
      <c r="CL7" s="94" t="s">
        <v>96</v>
      </c>
      <c r="CM7" s="94" t="s">
        <v>103</v>
      </c>
      <c r="CN7" s="94" t="s">
        <v>97</v>
      </c>
      <c r="CO7" s="94" t="s">
        <v>98</v>
      </c>
      <c r="CP7" s="94" t="s">
        <v>99</v>
      </c>
      <c r="CQ7" s="94" t="s">
        <v>97</v>
      </c>
      <c r="CR7" s="94" t="s">
        <v>104</v>
      </c>
      <c r="CS7" s="94" t="s">
        <v>105</v>
      </c>
      <c r="CT7" s="96" t="s">
        <v>97</v>
      </c>
    </row>
    <row r="8" spans="1:98" ht="16.5" thickTop="1" thickBot="1" x14ac:dyDescent="0.3">
      <c r="A8" s="105">
        <f>+IF(B8="","",SUBTOTAL(3,B$8:B8))</f>
        <v>1</v>
      </c>
      <c r="B8" s="106" t="str">
        <f>'Detailed Report'!O4</f>
        <v>Fuddruckers - New Maadi</v>
      </c>
      <c r="C8" s="107">
        <f>TRUNC('Detailed Report'!Q4,0)</f>
        <v>46023</v>
      </c>
      <c r="D8" s="108">
        <f>'Detailed Report'!P4</f>
        <v>3375325133</v>
      </c>
      <c r="E8" s="106" t="str">
        <f>'Detailed Report'!S4</f>
        <v>Successful</v>
      </c>
      <c r="F8" s="109">
        <f>IF(E8=$E$6,('Detailed Report'!Y4),IF(E8=$E$5,(0),0))</f>
        <v>547.58000000000004</v>
      </c>
      <c r="G8" s="106">
        <f>IF(E8=$E$6,('Detailed Report'!AQ4),IF(E8=$E$5,('Detailed Report'!AW4),0))</f>
        <v>480.33332999999999</v>
      </c>
      <c r="H8" s="106">
        <f>'Detailed Report'!AS4</f>
        <v>120.08333</v>
      </c>
      <c r="I8" s="106">
        <f>'Detailed Report'!AT4</f>
        <v>16.811666200000001</v>
      </c>
      <c r="J8" s="106">
        <f>'Detailed Report'!AO4</f>
        <v>9.5826499999999992</v>
      </c>
      <c r="K8" s="106">
        <f>'Detailed Report'!AP4</f>
        <v>1.3415710000000001</v>
      </c>
      <c r="L8" s="106">
        <f>'Detailed Report'!AU4/1.14</f>
        <v>25.42982456140351</v>
      </c>
      <c r="M8" s="106">
        <f>'Detailed Report'!AU4-L8</f>
        <v>3.5601754385964881</v>
      </c>
      <c r="N8" s="110">
        <f>'Detailed Report'!AW4</f>
        <v>336.57100000000003</v>
      </c>
      <c r="O8" s="111">
        <f t="shared" ref="O8" si="1">G8-N8</f>
        <v>143.76232999999996</v>
      </c>
      <c r="P8" s="110">
        <f>'Detailed Report'!AM4</f>
        <v>30</v>
      </c>
      <c r="Q8" s="110">
        <f>'Detailed Report'!AN4</f>
        <v>4.2</v>
      </c>
      <c r="R8" s="110">
        <f>'Detailed Report'!AU4/1.14</f>
        <v>25.42982456140351</v>
      </c>
      <c r="S8" s="110">
        <f>'Detailed Report'!AU4-'........... - Otlob'!R8</f>
        <v>3.5601754385964881</v>
      </c>
      <c r="T8" s="112" t="s">
        <v>84</v>
      </c>
      <c r="U8" s="113">
        <f>COUNTIF($B$8:$B$988,T8)</f>
        <v>0</v>
      </c>
      <c r="V8" s="114">
        <f ca="1">SUMIF($B$8:$O$988,T8,$G$8:$G$988)</f>
        <v>0</v>
      </c>
      <c r="W8" s="114">
        <f ca="1">SUMIF($B$8:$O$988,T8,$H$8:$H$988)</f>
        <v>0</v>
      </c>
      <c r="X8" s="114">
        <f ca="1">SUMIF($B$8:$O$988,T8,$I$8:$I$988)</f>
        <v>0</v>
      </c>
      <c r="Y8" s="114">
        <f ca="1">SUMIF($B$8:$O$988,T8,$J$8:$J$988)</f>
        <v>0</v>
      </c>
      <c r="Z8" s="114">
        <f ca="1">SUMIF($B$8:$O$988,T8,$K$8:$K$988)</f>
        <v>0</v>
      </c>
      <c r="AA8" s="114">
        <f ca="1">SUMIF($B$8:$S$988,T8,$P$8:$P$988)</f>
        <v>0</v>
      </c>
      <c r="AB8" s="114">
        <f ca="1">SUMIF($B$8:$S$988,T8,$Q$8:$Q$988)</f>
        <v>0</v>
      </c>
      <c r="AC8" s="114">
        <f ca="1">SUMIF($B$8:$S$988,T8,$R$8:$R$988)</f>
        <v>0</v>
      </c>
      <c r="AD8" s="114">
        <f ca="1">SUMIF($B$8:$O$988,T8,$S$8:$S$988)</f>
        <v>0</v>
      </c>
      <c r="AF8" s="115">
        <f>C2</f>
        <v>46023</v>
      </c>
      <c r="AG8" s="116"/>
      <c r="AH8" s="117">
        <f>COUNTIFS($C$8:$C$795,AF8,$B$8:$B$795,$T$8)</f>
        <v>0</v>
      </c>
      <c r="AI8" s="90">
        <f>SUMIFS($G$8:$G$795,$C$8:$C$795,AF8,$B$8:$B$795,$T$8)</f>
        <v>0</v>
      </c>
      <c r="AJ8" s="90" t="e">
        <f>SUMIFS(#REF!,$C$8:$C$795,AF8,$B$8:$B$795,$T$8)</f>
        <v>#REF!</v>
      </c>
      <c r="AK8" s="90" t="e">
        <f>SUMIFS(#REF!,$C$8:$C$795,AF8,$B$8:$B$795,$T$8)</f>
        <v>#REF!</v>
      </c>
      <c r="AL8" s="90" t="e">
        <f>SUMIFS(#REF!,$C$8:$C$795,AF8,$B$8:$B$795,$T$8)</f>
        <v>#REF!</v>
      </c>
      <c r="AM8" s="90" t="e">
        <f>SUMIFS(#REF!,$C$8:$C$795,AF8,$B$8:$B$795,$T$8)</f>
        <v>#REF!</v>
      </c>
      <c r="AN8" s="118" t="e">
        <f>SUMIFS(#REF!,$C$8:$C$795,AF8,$B$8:$B$795,$T$8)</f>
        <v>#REF!</v>
      </c>
      <c r="AO8" s="90" t="e">
        <f>SUMIFS(#REF!,$C$8:$C$795,AF8,$B$8:$B$795,$T$8)</f>
        <v>#REF!</v>
      </c>
      <c r="AP8" s="90" t="e">
        <f>SUMIFS(#REF!,$C$8:$C$795,AF8,$B$8:$B$795,$T$8)</f>
        <v>#REF!</v>
      </c>
      <c r="AQ8" s="90" t="e">
        <f>SUMIFS(#REF!,$C$8:$C$795,AF8,$B$8:$B$795,$T$8)</f>
        <v>#REF!</v>
      </c>
      <c r="AR8" s="90" t="e">
        <f>AI8+AM8</f>
        <v>#REF!</v>
      </c>
      <c r="AS8" s="90"/>
      <c r="AT8" s="119" t="e">
        <f t="shared" ref="AT8:AT38" si="2">AS8-AR8</f>
        <v>#REF!</v>
      </c>
      <c r="AV8" s="197">
        <f>COUNTIFS($C$8:$C$1000,AF8,$B$8:$B$1000,$T$9)</f>
        <v>14</v>
      </c>
      <c r="AW8" s="177">
        <f>SUMIFS($G$8:$G$897,$C$8:$C$897,AF8,$B$8:$B$897,$T$9)</f>
        <v>7629.833340000001</v>
      </c>
      <c r="AX8" s="177">
        <f t="shared" ref="AX8" si="3">SUMIFS($H$8:$H$897,$C$8:$C$897,AF8,$B$8:$B$897,$T$9)</f>
        <v>1907.4583600000001</v>
      </c>
      <c r="AY8" s="177">
        <f t="shared" ref="AY8" si="4">SUMIFS($I$8:$I$897,$C$8:$C$897,AF8,$B$8:$B$897,$T$9)</f>
        <v>267.04417039999998</v>
      </c>
      <c r="AZ8" s="177">
        <f>SUMIFS($F$8:$F$897,$C$8:$C$897,AF8,$B$8:$B$897,$T$9)</f>
        <v>8698.01</v>
      </c>
      <c r="BA8" s="177">
        <v>8569.43</v>
      </c>
      <c r="BB8" s="178">
        <f>AZ8-BA8</f>
        <v>128.57999999999993</v>
      </c>
      <c r="BD8" s="122">
        <f t="shared" ref="BD8" si="5">COUNTIFS($C$8:$C$795,AF8,$B$8:$B$795,$T$10)</f>
        <v>4</v>
      </c>
      <c r="BE8" s="123">
        <f t="shared" ref="BE8" si="6">SUMIFS($G$8:$G$979,$C$8:$C$979,AF8,$B$8:$B$979,$T$10)</f>
        <v>1220.2280700000001</v>
      </c>
      <c r="BF8" s="123">
        <f>SUMIFS($H$8:$H$897,$C$8:$C$897,AF8,$B$8:$B$897,$T$10)</f>
        <v>305.05701999999997</v>
      </c>
      <c r="BG8" s="123">
        <f>SUMIFS($I$8:$I$897,$C$8:$C$897,AF8,$B$8:$B$897,$T$10)</f>
        <v>42.707982800000003</v>
      </c>
      <c r="BH8" s="123">
        <f>SUMIFS($F$8:$F$897,$C$8:$C$897,AF8,$B$8:$B$897,$T$10)</f>
        <v>1391.06</v>
      </c>
      <c r="BI8" s="162">
        <v>1427.28</v>
      </c>
      <c r="BJ8" s="163">
        <f t="shared" ref="BJ8:BJ38" si="7">BH8-BI8</f>
        <v>-36.220000000000027</v>
      </c>
      <c r="BL8" s="124">
        <f t="shared" ref="BL8:BL38" si="8">COUNTIFS($C$8:$C$748,AF8,$B$8:$B$748,$T$11)</f>
        <v>0</v>
      </c>
      <c r="BM8" s="102">
        <f t="shared" ref="BM8:BM38" si="9">SUMIFS($G$8:$G$748,$C$8:$C$748,AF8,$B$8:$B$748,$T$11)</f>
        <v>0</v>
      </c>
      <c r="BN8" s="102" t="e">
        <f>SUMIFS(#REF!,$C$8:$C$748,AF8,$B$8:$B$748,$T$11)</f>
        <v>#REF!</v>
      </c>
      <c r="BO8" s="102" t="e">
        <f>SUMIFS(#REF!,$C$8:$C$748,AF8,$B$8:$B$748,$T$11)</f>
        <v>#REF!</v>
      </c>
      <c r="BP8" s="102" t="e">
        <f>SUMIFS(#REF!,$C$8:$C$748,AF8,$B$8:$B$748,$T$11)</f>
        <v>#REF!</v>
      </c>
      <c r="BQ8" s="102" t="e">
        <f>SUMIFS(#REF!,$C$8:$C$748,AF8,$B$8:$B$748,$T$11)</f>
        <v>#REF!</v>
      </c>
      <c r="BR8" s="125" t="e">
        <f>SUMIFS(#REF!,$C$8:$C$748,AF8,$B$8:$B$748,$T$11)</f>
        <v>#REF!</v>
      </c>
      <c r="BS8" s="102" t="e">
        <f>SUMIFS(#REF!,$C$8:$C$748,AF8,$B$8:$B$748,$T$11)</f>
        <v>#REF!</v>
      </c>
      <c r="BT8" s="102" t="e">
        <f>SUMIFS(#REF!,$C$8:$C$748,AF8,$B$8:$B$748,$T$11)</f>
        <v>#REF!</v>
      </c>
      <c r="BU8" s="102" t="e">
        <f>SUMIFS(#REF!,$C$8:$C$748,AF8,$B$8:$B$748,$T$11)</f>
        <v>#REF!</v>
      </c>
      <c r="BV8" s="102" t="e">
        <f>BM8+BQ8</f>
        <v>#REF!</v>
      </c>
      <c r="BW8" s="102">
        <v>0</v>
      </c>
      <c r="BX8" s="126" t="e">
        <f t="shared" ref="BX8:BX38" si="10">BW8-BV8</f>
        <v>#REF!</v>
      </c>
      <c r="BZ8" s="122">
        <f t="shared" ref="BZ8:BZ38" si="11">COUNTIFS($C$8:$C$795,AF8,$B$8:$B$795,$T$12)</f>
        <v>23</v>
      </c>
      <c r="CA8" s="123">
        <f t="shared" ref="CA8:CA38" si="12">SUMIFS($G$8:$G$979,$C$8:$C$979,AF8,$B$8:$B$979,$T$12)</f>
        <v>13250.377180000001</v>
      </c>
      <c r="CB8" s="123">
        <f>SUMIFS($H$8:$H$897,$C$8:$C$897,AF8,$B$8:$B$897,$T$12)</f>
        <v>3312.5943299999999</v>
      </c>
      <c r="CC8" s="123">
        <f>SUMIFS($I$8:$I$897,$C$8:$C$897,AF8,$B$8:$B$897,$T$12)</f>
        <v>463.76320620000001</v>
      </c>
      <c r="CD8" s="123">
        <f>SUMIFS($F$8:$F$897,$C$8:$C$897,AF8,$B$8:$B$897,$T$12)</f>
        <v>15105.429999999998</v>
      </c>
      <c r="CE8" s="162">
        <v>15029.71</v>
      </c>
      <c r="CF8" s="163">
        <f t="shared" ref="CF8:CF38" si="13">CD8-CE8</f>
        <v>75.719999999999345</v>
      </c>
      <c r="CH8" s="120">
        <f t="shared" ref="CH8:CH38" si="14">SUM(AH8,AV8,BD8,BL8,BZ8)</f>
        <v>41</v>
      </c>
      <c r="CI8" s="123">
        <f t="shared" ref="CI8:CI38" si="15">SUM(AI8,AW8,BE8,BM8,CA8)</f>
        <v>22100.438590000005</v>
      </c>
      <c r="CJ8" s="123" t="e">
        <f t="shared" ref="CJ8:CJ38" si="16">SUM(AJ8,AX8,BF8,BN8,CB8)</f>
        <v>#REF!</v>
      </c>
      <c r="CK8" s="123" t="e">
        <f t="shared" ref="CK8:CK38" si="17">SUM(AK8,AY8,BG8,BO8,CC8)</f>
        <v>#REF!</v>
      </c>
      <c r="CL8" s="123" t="e">
        <f>SUM(AL8,#REF!,BH8,BP8,CD8)</f>
        <v>#REF!</v>
      </c>
      <c r="CM8" s="123" t="e">
        <f>SUM(AM8,#REF!,#REF!,BQ8,#REF!)</f>
        <v>#REF!</v>
      </c>
      <c r="CN8" s="123" t="e">
        <f>SUM(AN8,#REF!,#REF!,BR8,#REF!)</f>
        <v>#REF!</v>
      </c>
      <c r="CO8" s="123" t="e">
        <f>SUM(AO8,#REF!,#REF!,BS8,#REF!)</f>
        <v>#REF!</v>
      </c>
      <c r="CP8" s="123" t="e">
        <f>SUM(AP8,#REF!,#REF!,BT8,#REF!)</f>
        <v>#REF!</v>
      </c>
      <c r="CQ8" s="123" t="e">
        <f>SUM(AQ8,#REF!,#REF!,BU8,#REF!)</f>
        <v>#REF!</v>
      </c>
      <c r="CR8" s="123" t="e">
        <f>SUM(AR8,AZ8,#REF!,BV8,#REF!)</f>
        <v>#REF!</v>
      </c>
      <c r="CS8" s="123">
        <f t="shared" ref="CS8:CS38" si="18">SUM(AS8,BA8,BI8,BW8,CE8)</f>
        <v>25026.42</v>
      </c>
      <c r="CT8" s="121" t="e">
        <f>CR8-CS8</f>
        <v>#REF!</v>
      </c>
    </row>
    <row r="9" spans="1:98" ht="15.75" thickBot="1" x14ac:dyDescent="0.3">
      <c r="A9" s="105">
        <f>+IF(B9="","",SUBTOTAL(3,B$8:B9))</f>
        <v>2</v>
      </c>
      <c r="B9" s="106" t="str">
        <f>'Detailed Report'!O5</f>
        <v>Fuddruckers - New Maadi</v>
      </c>
      <c r="C9" s="107">
        <f>TRUNC('Detailed Report'!Q5,0)</f>
        <v>46023</v>
      </c>
      <c r="D9" s="108">
        <f>'Detailed Report'!P5</f>
        <v>3375390969</v>
      </c>
      <c r="E9" s="106" t="str">
        <f>'Detailed Report'!S5</f>
        <v>Successful</v>
      </c>
      <c r="F9" s="109">
        <f>IF(E9=$E$6,('Detailed Report'!Y5),IF(E9=$E$5,(0),0))</f>
        <v>239.99</v>
      </c>
      <c r="G9" s="106">
        <f>IF(E9=$E$6,('Detailed Report'!AQ5),IF(E9=$E$5,('Detailed Report'!AW5),0))</f>
        <v>210.51754</v>
      </c>
      <c r="H9" s="106">
        <f>'Detailed Report'!AS5</f>
        <v>52.629390000000001</v>
      </c>
      <c r="I9" s="106">
        <f>'Detailed Report'!AT5</f>
        <v>7.3681146000000002</v>
      </c>
      <c r="J9" s="106">
        <f>'Detailed Report'!AO5</f>
        <v>4.1998249999999997</v>
      </c>
      <c r="K9" s="106">
        <f>'Detailed Report'!AP5</f>
        <v>0.58797549999999998</v>
      </c>
      <c r="L9" s="106">
        <f>'Detailed Report'!AU5/1.14</f>
        <v>24.55263157894737</v>
      </c>
      <c r="M9" s="106">
        <f>'Detailed Report'!AU5-L9</f>
        <v>3.4373684210526285</v>
      </c>
      <c r="N9" s="110">
        <f>'Detailed Report'!AW5</f>
        <v>113.015</v>
      </c>
      <c r="O9" s="111">
        <f t="shared" ref="O9:O72" si="19">G9-N9</f>
        <v>97.502539999999996</v>
      </c>
      <c r="P9" s="110">
        <f>'Detailed Report'!AM5</f>
        <v>30</v>
      </c>
      <c r="Q9" s="110">
        <f>'Detailed Report'!AN5</f>
        <v>4.2</v>
      </c>
      <c r="R9" s="110">
        <f>'Detailed Report'!AU5/1.14</f>
        <v>24.55263157894737</v>
      </c>
      <c r="S9" s="110">
        <f>'Detailed Report'!AU5-'........... - Otlob'!R9</f>
        <v>3.4373684210526285</v>
      </c>
      <c r="T9" s="196" t="s">
        <v>63</v>
      </c>
      <c r="U9" s="113">
        <f>COUNTIF($B$8:$B$988,T9)</f>
        <v>381</v>
      </c>
      <c r="V9" s="114">
        <f ca="1">SUMIF($B$8:$O$988,T9,$G$8:$G$988)</f>
        <v>198258.51631999979</v>
      </c>
      <c r="W9" s="114">
        <f ca="1">SUMIF($B$8:$O$988,T9,$H$8:$H$988)</f>
        <v>49889.134259999999</v>
      </c>
      <c r="X9" s="114">
        <f ca="1">SUMIF($B$8:$O$988,T9,$I$8:$I$988)</f>
        <v>6984.4787963999961</v>
      </c>
      <c r="Y9" s="114">
        <f ca="1">SUMIF($B$8:$O$988,T9,$J$8:$J$988)</f>
        <v>3303.3805822499967</v>
      </c>
      <c r="Z9" s="114">
        <f ca="1">SUMIF($B$8:$O$988,T9,$K$8:$K$988)</f>
        <v>462.47328151499971</v>
      </c>
      <c r="AA9" s="114">
        <f ca="1">SUMIF($B$8:$S$988,T9,$P$8:$P$988)</f>
        <v>690</v>
      </c>
      <c r="AB9" s="114">
        <f ca="1">SUMIF($B$8:$S$988,T9,$Q$8:$Q$988)</f>
        <v>96.600000000000037</v>
      </c>
      <c r="AC9" s="114">
        <f ca="1">SUMIF($B$8:$S$988,T9,$R$8:$R$988)</f>
        <v>5531.4210526315956</v>
      </c>
      <c r="AD9" s="114">
        <f ca="1">SUMIF($B$8:$O$988,T9,$S$8:$S$988)</f>
        <v>774.39894736842064</v>
      </c>
      <c r="AF9" s="127">
        <f>AF8+1</f>
        <v>46024</v>
      </c>
      <c r="AG9" s="116"/>
      <c r="AH9" s="117">
        <f t="shared" ref="AH9:AH38" si="20">COUNTIFS($C$8:$C$748,AF9,$B$8:$B$748,$T$8)</f>
        <v>0</v>
      </c>
      <c r="AI9" s="90">
        <f t="shared" ref="AI9:AI38" si="21">SUMIFS($G$8:$G$748,$C$8:$C$748,AF9,$B$8:$B$748,$T$8)</f>
        <v>0</v>
      </c>
      <c r="AJ9" s="90" t="e">
        <f>SUMIFS(#REF!,$C$8:$C$748,AF9,$B$8:$B$748,$T$8)</f>
        <v>#REF!</v>
      </c>
      <c r="AK9" s="90" t="e">
        <f>SUMIFS(#REF!,$C$8:$C$748,AF9,$B$8:$B$748,$T$8)</f>
        <v>#REF!</v>
      </c>
      <c r="AL9" s="90" t="e">
        <f>SUMIFS(#REF!,$C$8:$C$748,AF9,$B$8:$B$748,$T$8)</f>
        <v>#REF!</v>
      </c>
      <c r="AM9" s="90" t="e">
        <f>SUMIFS(#REF!,$C$8:$C$748,AF9,$B$8:$B$748,$T$8)</f>
        <v>#REF!</v>
      </c>
      <c r="AN9" s="128" t="e">
        <f>SUMIFS(#REF!,$C$8:$C$748,AF9,$B$8:$B$748,$T$8)</f>
        <v>#REF!</v>
      </c>
      <c r="AO9" s="90" t="e">
        <f>SUMIFS(#REF!,$C$8:$C$748,AF9,$B$8:$B$748,$T$8)</f>
        <v>#REF!</v>
      </c>
      <c r="AP9" s="90" t="e">
        <f>SUMIFS(#REF!,$C$8:$C$748,AF9,$B$8:$B$748,$T$8)</f>
        <v>#REF!</v>
      </c>
      <c r="AQ9" s="90" t="e">
        <f>SUMIFS(#REF!,$C$8:$C$748,AF9,$B$8:$B$748,$T$8)</f>
        <v>#REF!</v>
      </c>
      <c r="AR9" s="90" t="e">
        <f t="shared" ref="AR9:AR38" si="22">AI9+AM9</f>
        <v>#REF!</v>
      </c>
      <c r="AS9" s="90"/>
      <c r="AT9" s="119" t="e">
        <f t="shared" si="2"/>
        <v>#REF!</v>
      </c>
      <c r="AV9" s="197">
        <f t="shared" ref="AV9:AV39" si="23">COUNTIFS($C$8:$C$1000,AF9,$B$8:$B$1000,$T$9)</f>
        <v>11</v>
      </c>
      <c r="AW9" s="123">
        <f t="shared" ref="AW9:AW38" si="24">SUMIFS($G$8:$G$897,$C$8:$C$897,AF9,$B$8:$B$897,$T$9)</f>
        <v>5449.5526199999995</v>
      </c>
      <c r="AX9" s="123">
        <f t="shared" ref="AX9:AX38" si="25">SUMIFS($H$8:$H$897,$C$8:$C$897,AF9,$B$8:$B$897,$T$9)</f>
        <v>1362.3881699999999</v>
      </c>
      <c r="AY9" s="123">
        <f t="shared" ref="AY9:AY38" si="26">SUMIFS($I$8:$I$897,$C$8:$C$897,AF9,$B$8:$B$897,$T$9)</f>
        <v>190.7343438</v>
      </c>
      <c r="AZ9" s="123">
        <f t="shared" ref="AZ9:AZ38" si="27">SUMIFS($F$8:$F$897,$C$8:$C$897,AF9,$B$8:$B$897,$T$9)</f>
        <v>6212.49</v>
      </c>
      <c r="BA9" s="162">
        <v>6107.03</v>
      </c>
      <c r="BB9" s="163">
        <f t="shared" ref="BB9:BB38" si="28">AZ9-BA9</f>
        <v>105.46000000000004</v>
      </c>
      <c r="BD9" s="122">
        <f t="shared" ref="BD9:BD38" si="29">COUNTIFS($C$8:$C$795,AF9,$B$8:$B$795,$T$10)</f>
        <v>4</v>
      </c>
      <c r="BE9" s="123">
        <f t="shared" ref="BE9:BE38" si="30">SUMIFS($G$8:$G$979,$C$8:$C$979,AF9,$B$8:$B$979,$T$10)</f>
        <v>1731.2017499999997</v>
      </c>
      <c r="BF9" s="123">
        <f t="shared" ref="BF9:BF38" si="31">SUMIFS($H$8:$H$897,$C$8:$C$897,AF9,$B$8:$B$897,$T$10)</f>
        <v>432.80043999999998</v>
      </c>
      <c r="BG9" s="123">
        <f t="shared" ref="BG9:BG38" si="32">SUMIFS($I$8:$I$897,$C$8:$C$897,AF9,$B$8:$B$897,$T$10)</f>
        <v>60.592061599999994</v>
      </c>
      <c r="BH9" s="123">
        <f t="shared" ref="BH9:BH38" si="33">SUMIFS($F$8:$F$897,$C$8:$C$897,AF9,$B$8:$B$897,$T$10)</f>
        <v>1973.57</v>
      </c>
      <c r="BI9" s="162">
        <v>1973.34</v>
      </c>
      <c r="BJ9" s="163">
        <f t="shared" si="7"/>
        <v>0.23000000000001819</v>
      </c>
      <c r="BL9" s="124">
        <f t="shared" si="8"/>
        <v>0</v>
      </c>
      <c r="BM9" s="102">
        <f t="shared" si="9"/>
        <v>0</v>
      </c>
      <c r="BN9" s="102" t="e">
        <f>SUMIFS(#REF!,$C$8:$C$748,AF9,$B$8:$B$748,$T$11)</f>
        <v>#REF!</v>
      </c>
      <c r="BO9" s="102" t="e">
        <f>SUMIFS(#REF!,$C$8:$C$748,AF9,$B$8:$B$748,$T$11)</f>
        <v>#REF!</v>
      </c>
      <c r="BP9" s="102" t="e">
        <f>SUMIFS(#REF!,$C$8:$C$748,AF9,$B$8:$B$748,$T$11)</f>
        <v>#REF!</v>
      </c>
      <c r="BQ9" s="102" t="e">
        <f>SUMIFS(#REF!,$C$8:$C$748,AF9,$B$8:$B$748,$T$11)</f>
        <v>#REF!</v>
      </c>
      <c r="BR9" s="125" t="e">
        <f>SUMIFS(#REF!,$C$8:$C$748,AF9,$B$8:$B$748,$T$11)</f>
        <v>#REF!</v>
      </c>
      <c r="BS9" s="102" t="e">
        <f>SUMIFS(#REF!,$C$8:$C$748,AF9,$B$8:$B$748,$T$11)</f>
        <v>#REF!</v>
      </c>
      <c r="BT9" s="102" t="e">
        <f>SUMIFS(#REF!,$C$8:$C$748,AF9,$B$8:$B$748,$T$11)</f>
        <v>#REF!</v>
      </c>
      <c r="BU9" s="102" t="e">
        <f>SUMIFS(#REF!,$C$8:$C$748,AF9,$B$8:$B$748,$T$11)</f>
        <v>#REF!</v>
      </c>
      <c r="BV9" s="102" t="e">
        <f t="shared" ref="BV9:BV38" si="34">BM9+BQ9</f>
        <v>#REF!</v>
      </c>
      <c r="BW9" s="102">
        <v>0</v>
      </c>
      <c r="BX9" s="126" t="e">
        <f t="shared" si="10"/>
        <v>#REF!</v>
      </c>
      <c r="BZ9" s="122">
        <f t="shared" si="11"/>
        <v>12</v>
      </c>
      <c r="CA9" s="123">
        <f t="shared" si="12"/>
        <v>9074.6403500000015</v>
      </c>
      <c r="CB9" s="123">
        <f t="shared" ref="CB9:CB38" si="35">SUMIFS($H$8:$H$897,$C$8:$C$897,AF9,$B$8:$B$897,$T$12)</f>
        <v>2268.6601000000001</v>
      </c>
      <c r="CC9" s="123">
        <f t="shared" ref="CC9:CC38" si="36">SUMIFS($I$8:$I$897,$C$8:$C$897,AF9,$B$8:$B$897,$T$12)</f>
        <v>317.61241400000006</v>
      </c>
      <c r="CD9" s="123">
        <f t="shared" ref="CD9:CD38" si="37">SUMIFS($F$8:$F$897,$C$8:$C$897,AF9,$B$8:$B$897,$T$12)</f>
        <v>10345.09</v>
      </c>
      <c r="CE9" s="162">
        <v>10267.959999999999</v>
      </c>
      <c r="CF9" s="163">
        <f t="shared" si="13"/>
        <v>77.130000000001019</v>
      </c>
      <c r="CH9" s="129">
        <f t="shared" si="14"/>
        <v>27</v>
      </c>
      <c r="CI9" s="123">
        <f t="shared" si="15"/>
        <v>16255.39472</v>
      </c>
      <c r="CJ9" s="123" t="e">
        <f t="shared" si="16"/>
        <v>#REF!</v>
      </c>
      <c r="CK9" s="123" t="e">
        <f t="shared" si="17"/>
        <v>#REF!</v>
      </c>
      <c r="CL9" s="123" t="e">
        <f>SUM(AL9,#REF!,BH9,BP9,CD9)</f>
        <v>#REF!</v>
      </c>
      <c r="CM9" s="123" t="e">
        <f>SUM(AM9,#REF!,#REF!,BQ9,#REF!)</f>
        <v>#REF!</v>
      </c>
      <c r="CN9" s="123" t="e">
        <f>SUM(AN9,#REF!,#REF!,BR9,#REF!)</f>
        <v>#REF!</v>
      </c>
      <c r="CO9" s="123" t="e">
        <f>SUM(AO9,#REF!,#REF!,BS9,#REF!)</f>
        <v>#REF!</v>
      </c>
      <c r="CP9" s="123" t="e">
        <f>SUM(AP9,#REF!,#REF!,BT9,#REF!)</f>
        <v>#REF!</v>
      </c>
      <c r="CQ9" s="123" t="e">
        <f>SUM(AQ9,#REF!,#REF!,BU9,#REF!)</f>
        <v>#REF!</v>
      </c>
      <c r="CR9" s="123" t="e">
        <f>SUM(AR9,AZ9,#REF!,BV9,#REF!)</f>
        <v>#REF!</v>
      </c>
      <c r="CS9" s="123">
        <f t="shared" si="18"/>
        <v>18348.329999999998</v>
      </c>
      <c r="CT9" s="121" t="e">
        <f t="shared" ref="CT9:CT38" si="38">CR9-CS9</f>
        <v>#REF!</v>
      </c>
    </row>
    <row r="10" spans="1:98" ht="15.75" thickBot="1" x14ac:dyDescent="0.3">
      <c r="A10" s="105">
        <f>+IF(B10="","",SUBTOTAL(3,B$8:B10))</f>
        <v>3</v>
      </c>
      <c r="B10" s="106" t="str">
        <f>'Detailed Report'!O6</f>
        <v>Fuddruckers - City Stars</v>
      </c>
      <c r="C10" s="107">
        <f>TRUNC('Detailed Report'!Q6,0)</f>
        <v>46023</v>
      </c>
      <c r="D10" s="108">
        <f>'Detailed Report'!P6</f>
        <v>3375439650</v>
      </c>
      <c r="E10" s="106" t="str">
        <f>'Detailed Report'!S6</f>
        <v>Successful</v>
      </c>
      <c r="F10" s="109">
        <f>IF(E10=$E$6,('Detailed Report'!Y6),IF(E10=$E$5,(0),0))</f>
        <v>218.08</v>
      </c>
      <c r="G10" s="106">
        <f>IF(E10=$E$6,('Detailed Report'!AQ6),IF(E10=$E$5,('Detailed Report'!AW6),0))</f>
        <v>191.29825</v>
      </c>
      <c r="H10" s="106">
        <f>'Detailed Report'!AS6</f>
        <v>47.824559999999998</v>
      </c>
      <c r="I10" s="106">
        <f>'Detailed Report'!AT6</f>
        <v>6.6954383999999996</v>
      </c>
      <c r="J10" s="106">
        <f>'Detailed Report'!AO6</f>
        <v>0</v>
      </c>
      <c r="K10" s="106">
        <f>'Detailed Report'!AP6</f>
        <v>0</v>
      </c>
      <c r="L10" s="106">
        <f>'Detailed Report'!AU6/1.14</f>
        <v>25.42982456140351</v>
      </c>
      <c r="M10" s="106">
        <f>'Detailed Report'!AU6-L10</f>
        <v>3.5601754385964881</v>
      </c>
      <c r="N10" s="110">
        <f>'Detailed Report'!AW6</f>
        <v>134.57</v>
      </c>
      <c r="O10" s="111">
        <f t="shared" si="19"/>
        <v>56.728250000000003</v>
      </c>
      <c r="P10" s="110">
        <f>'Detailed Report'!AM6</f>
        <v>0</v>
      </c>
      <c r="Q10" s="110">
        <f>'Detailed Report'!AN6</f>
        <v>0</v>
      </c>
      <c r="R10" s="110">
        <f>'Detailed Report'!AU6/1.14</f>
        <v>25.42982456140351</v>
      </c>
      <c r="S10" s="110">
        <f>'Detailed Report'!AU6-'........... - Otlob'!R10</f>
        <v>3.5601754385964881</v>
      </c>
      <c r="T10" s="112" t="s">
        <v>65</v>
      </c>
      <c r="U10" s="113">
        <f>COUNTIF($B$8:$B$988,T10)</f>
        <v>123</v>
      </c>
      <c r="V10" s="114">
        <f ca="1">SUMIF($B$8:$O$988,T10,$G$8:$G$988)</f>
        <v>56002.087679999997</v>
      </c>
      <c r="W10" s="114">
        <f ca="1">SUMIF($B$8:$O$988,T10,$H$8:$H$988)</f>
        <v>14000.522000000001</v>
      </c>
      <c r="X10" s="114">
        <f ca="1">SUMIF($B$8:$O$988,T10,$I$8:$I$988)</f>
        <v>1960.0730800000015</v>
      </c>
      <c r="Y10" s="114">
        <f ca="1">SUMIF($B$8:$O$988,T10,$J$8:$J$988)</f>
        <v>732.63311974999999</v>
      </c>
      <c r="Z10" s="114">
        <f ca="1">SUMIF($B$8:$O$988,T10,$K$8:$K$988)</f>
        <v>102.56863676499998</v>
      </c>
      <c r="AA10" s="114">
        <f ca="1">SUMIF($B$8:$S$988,T10,$P$8:$P$988)</f>
        <v>720</v>
      </c>
      <c r="AB10" s="114">
        <f ca="1">SUMIF($B$8:$S$988,T10,$Q$8:$Q$988)</f>
        <v>100.80000000000004</v>
      </c>
      <c r="AC10" s="114">
        <f ca="1">SUMIF($B$8:$S$988,T10,$R$8:$R$988)</f>
        <v>1606.4561403508776</v>
      </c>
      <c r="AD10" s="114">
        <f ca="1">SUMIF($B$8:$O$988,T10,$S$8:$S$988)</f>
        <v>224.90385964912267</v>
      </c>
      <c r="AF10" s="127">
        <f t="shared" ref="AF10:AF38" si="39">AF9+1</f>
        <v>46025</v>
      </c>
      <c r="AG10" s="116"/>
      <c r="AH10" s="117">
        <f t="shared" si="20"/>
        <v>0</v>
      </c>
      <c r="AI10" s="90">
        <f t="shared" si="21"/>
        <v>0</v>
      </c>
      <c r="AJ10" s="90" t="e">
        <f>SUMIFS(#REF!,$C$8:$C$748,AF10,$B$8:$B$748,$T$8)</f>
        <v>#REF!</v>
      </c>
      <c r="AK10" s="90" t="e">
        <f>SUMIFS(#REF!,$C$8:$C$748,AF10,$B$8:$B$748,$T$8)</f>
        <v>#REF!</v>
      </c>
      <c r="AL10" s="90" t="e">
        <f>SUMIFS(#REF!,$C$8:$C$748,AF10,$B$8:$B$748,$T$8)</f>
        <v>#REF!</v>
      </c>
      <c r="AM10" s="90" t="e">
        <f>SUMIFS(#REF!,$C$8:$C$748,AF10,$B$8:$B$748,$T$8)</f>
        <v>#REF!</v>
      </c>
      <c r="AN10" s="128" t="e">
        <f>SUMIFS(#REF!,$C$8:$C$748,AF10,$B$8:$B$748,$T$8)</f>
        <v>#REF!</v>
      </c>
      <c r="AO10" s="90" t="e">
        <f>SUMIFS(#REF!,$C$8:$C$748,AF10,$B$8:$B$748,$T$8)</f>
        <v>#REF!</v>
      </c>
      <c r="AP10" s="90" t="e">
        <f>SUMIFS(#REF!,$C$8:$C$748,AF10,$B$8:$B$748,$T$8)</f>
        <v>#REF!</v>
      </c>
      <c r="AQ10" s="90" t="e">
        <f>SUMIFS(#REF!,$C$8:$C$748,AF10,$B$8:$B$748,$T$8)</f>
        <v>#REF!</v>
      </c>
      <c r="AR10" s="90" t="e">
        <f t="shared" si="22"/>
        <v>#REF!</v>
      </c>
      <c r="AS10" s="90"/>
      <c r="AT10" s="119" t="e">
        <f t="shared" si="2"/>
        <v>#REF!</v>
      </c>
      <c r="AV10" s="197">
        <f t="shared" si="23"/>
        <v>16</v>
      </c>
      <c r="AW10" s="123">
        <f t="shared" si="24"/>
        <v>10557.675440000001</v>
      </c>
      <c r="AX10" s="123">
        <f t="shared" si="25"/>
        <v>2639.4188799999997</v>
      </c>
      <c r="AY10" s="123">
        <f t="shared" si="26"/>
        <v>369.51864320000004</v>
      </c>
      <c r="AZ10" s="123">
        <f t="shared" si="27"/>
        <v>12035.749999999998</v>
      </c>
      <c r="BA10" s="162">
        <v>11947.99</v>
      </c>
      <c r="BB10" s="163">
        <f t="shared" si="28"/>
        <v>87.759999999998399</v>
      </c>
      <c r="BD10" s="122">
        <f t="shared" si="29"/>
        <v>2</v>
      </c>
      <c r="BE10" s="123">
        <f t="shared" si="30"/>
        <v>991.04386</v>
      </c>
      <c r="BF10" s="123">
        <f t="shared" si="31"/>
        <v>247.76096999999999</v>
      </c>
      <c r="BG10" s="123">
        <f t="shared" si="32"/>
        <v>34.686535800000001</v>
      </c>
      <c r="BH10" s="123">
        <f t="shared" si="33"/>
        <v>1129.79</v>
      </c>
      <c r="BI10" s="162">
        <v>1145.7</v>
      </c>
      <c r="BJ10" s="163">
        <f t="shared" si="7"/>
        <v>-15.910000000000082</v>
      </c>
      <c r="BL10" s="124">
        <f t="shared" si="8"/>
        <v>0</v>
      </c>
      <c r="BM10" s="102">
        <f t="shared" si="9"/>
        <v>0</v>
      </c>
      <c r="BN10" s="102" t="e">
        <f>SUMIFS(#REF!,$C$8:$C$748,AF10,$B$8:$B$748,$T$11)</f>
        <v>#REF!</v>
      </c>
      <c r="BO10" s="102" t="e">
        <f>SUMIFS(#REF!,$C$8:$C$748,AF10,$B$8:$B$748,$T$11)</f>
        <v>#REF!</v>
      </c>
      <c r="BP10" s="102" t="e">
        <f>SUMIFS(#REF!,$C$8:$C$748,AF10,$B$8:$B$748,$T$11)</f>
        <v>#REF!</v>
      </c>
      <c r="BQ10" s="102" t="e">
        <f>SUMIFS(#REF!,$C$8:$C$748,AF10,$B$8:$B$748,$T$11)</f>
        <v>#REF!</v>
      </c>
      <c r="BR10" s="125" t="e">
        <f>SUMIFS(#REF!,$C$8:$C$748,AF10,$B$8:$B$748,$T$11)</f>
        <v>#REF!</v>
      </c>
      <c r="BS10" s="102" t="e">
        <f>SUMIFS(#REF!,$C$8:$C$748,AF10,$B$8:$B$748,$T$11)</f>
        <v>#REF!</v>
      </c>
      <c r="BT10" s="102" t="e">
        <f>SUMIFS(#REF!,$C$8:$C$748,AF10,$B$8:$B$748,$T$11)</f>
        <v>#REF!</v>
      </c>
      <c r="BU10" s="102" t="e">
        <f>SUMIFS(#REF!,$C$8:$C$748,AF10,$B$8:$B$748,$T$11)</f>
        <v>#REF!</v>
      </c>
      <c r="BV10" s="102" t="e">
        <f t="shared" si="34"/>
        <v>#REF!</v>
      </c>
      <c r="BW10" s="102">
        <v>0</v>
      </c>
      <c r="BX10" s="126" t="e">
        <f t="shared" si="10"/>
        <v>#REF!</v>
      </c>
      <c r="BZ10" s="122">
        <f t="shared" si="11"/>
        <v>10</v>
      </c>
      <c r="CA10" s="123">
        <f t="shared" si="12"/>
        <v>4657.86265</v>
      </c>
      <c r="CB10" s="123">
        <f t="shared" si="35"/>
        <v>1292.39914</v>
      </c>
      <c r="CC10" s="123">
        <f t="shared" si="36"/>
        <v>180.93587960000002</v>
      </c>
      <c r="CD10" s="123">
        <f t="shared" si="37"/>
        <v>5439.35</v>
      </c>
      <c r="CE10" s="162">
        <v>5823.12</v>
      </c>
      <c r="CF10" s="163">
        <f t="shared" si="13"/>
        <v>-383.76999999999953</v>
      </c>
      <c r="CH10" s="129">
        <f t="shared" si="14"/>
        <v>28</v>
      </c>
      <c r="CI10" s="123">
        <f t="shared" si="15"/>
        <v>16206.58195</v>
      </c>
      <c r="CJ10" s="123" t="e">
        <f t="shared" si="16"/>
        <v>#REF!</v>
      </c>
      <c r="CK10" s="123" t="e">
        <f t="shared" si="17"/>
        <v>#REF!</v>
      </c>
      <c r="CL10" s="123" t="e">
        <f>SUM(AL10,#REF!,BH10,BP10,CD10)</f>
        <v>#REF!</v>
      </c>
      <c r="CM10" s="123" t="e">
        <f>SUM(AM10,#REF!,#REF!,BQ10,#REF!)</f>
        <v>#REF!</v>
      </c>
      <c r="CN10" s="123" t="e">
        <f>SUM(AN10,#REF!,#REF!,BR10,#REF!)</f>
        <v>#REF!</v>
      </c>
      <c r="CO10" s="123" t="e">
        <f>SUM(AO10,#REF!,#REF!,BS10,#REF!)</f>
        <v>#REF!</v>
      </c>
      <c r="CP10" s="123" t="e">
        <f>SUM(AP10,#REF!,#REF!,BT10,#REF!)</f>
        <v>#REF!</v>
      </c>
      <c r="CQ10" s="123" t="e">
        <f>SUM(AQ10,#REF!,#REF!,BU10,#REF!)</f>
        <v>#REF!</v>
      </c>
      <c r="CR10" s="123" t="e">
        <f>SUM(AR10,AZ10,#REF!,BV10,#REF!)</f>
        <v>#REF!</v>
      </c>
      <c r="CS10" s="123">
        <f t="shared" si="18"/>
        <v>18916.810000000001</v>
      </c>
      <c r="CT10" s="121" t="e">
        <f t="shared" si="38"/>
        <v>#REF!</v>
      </c>
    </row>
    <row r="11" spans="1:98" ht="15.75" thickBot="1" x14ac:dyDescent="0.3">
      <c r="A11" s="105">
        <f>+IF(B11="","",SUBTOTAL(3,B$8:B11))</f>
        <v>4</v>
      </c>
      <c r="B11" s="106" t="str">
        <f>'Detailed Report'!O7</f>
        <v>Fuddruckers - Concord Plaza Mall</v>
      </c>
      <c r="C11" s="107">
        <f>TRUNC('Detailed Report'!Q7,0)</f>
        <v>46023</v>
      </c>
      <c r="D11" s="108">
        <f>'Detailed Report'!P7</f>
        <v>3375447599</v>
      </c>
      <c r="E11" s="106" t="str">
        <f>'Detailed Report'!S7</f>
        <v>Successful</v>
      </c>
      <c r="F11" s="109">
        <f>IF(E11=$E$6,('Detailed Report'!Y7),IF(E11=$E$5,(0),0))</f>
        <v>859.7</v>
      </c>
      <c r="G11" s="106">
        <f>IF(E11=$E$6,('Detailed Report'!AQ7),IF(E11=$E$5,('Detailed Report'!AW7),0))</f>
        <v>754.12280999999996</v>
      </c>
      <c r="H11" s="106">
        <f>'Detailed Report'!AS7</f>
        <v>188.5307</v>
      </c>
      <c r="I11" s="106">
        <f>'Detailed Report'!AT7</f>
        <v>26.394297999999999</v>
      </c>
      <c r="J11" s="106">
        <f>'Detailed Report'!AO7</f>
        <v>15.044750000000001</v>
      </c>
      <c r="K11" s="106">
        <f>'Detailed Report'!AP7</f>
        <v>2.1062650000000001</v>
      </c>
      <c r="L11" s="106">
        <f>'Detailed Report'!AU7/1.14</f>
        <v>29.815789473684216</v>
      </c>
      <c r="M11" s="106">
        <f>'Detailed Report'!AU7-L11</f>
        <v>4.174210526315786</v>
      </c>
      <c r="N11" s="110">
        <f>'Detailed Report'!AW7</f>
        <v>593.63400000000001</v>
      </c>
      <c r="O11" s="111">
        <f t="shared" si="19"/>
        <v>160.48880999999994</v>
      </c>
      <c r="P11" s="110">
        <f>'Detailed Report'!AM7</f>
        <v>0</v>
      </c>
      <c r="Q11" s="110">
        <f>'Detailed Report'!AN7</f>
        <v>0</v>
      </c>
      <c r="R11" s="110">
        <f>'Detailed Report'!AU7/1.14</f>
        <v>29.815789473684216</v>
      </c>
      <c r="S11" s="110">
        <f>'Detailed Report'!AU7-'........... - Otlob'!R11</f>
        <v>4.174210526315786</v>
      </c>
      <c r="T11" s="112" t="s">
        <v>85</v>
      </c>
      <c r="U11" s="113">
        <f>COUNTIF($B$8:$B$988,T11)</f>
        <v>0</v>
      </c>
      <c r="V11" s="114">
        <f ca="1">SUMIF($B$8:$O$988,T11,$G$8:$G$988)</f>
        <v>0</v>
      </c>
      <c r="W11" s="114">
        <v>0</v>
      </c>
      <c r="X11" s="114">
        <v>0</v>
      </c>
      <c r="Y11" s="114">
        <f ca="1">SUMIF($B$8:$O$988,T11,$J$8:$J$988)</f>
        <v>0</v>
      </c>
      <c r="Z11" s="114">
        <f ca="1">SUMIF($B$8:$O$988,T11,$K$8:$K$988)</f>
        <v>0</v>
      </c>
      <c r="AA11" s="114">
        <f ca="1">SUMIF($B$8:$S$988,T11,$P$8:$P$988)</f>
        <v>0</v>
      </c>
      <c r="AB11" s="114">
        <f ca="1">SUMIF($B$8:$S$988,T11,$Q$8:$Q$988)</f>
        <v>0</v>
      </c>
      <c r="AC11" s="114">
        <f ca="1">SUMIF($B$8:$S$988,T11,$R$8:$R$988)</f>
        <v>0</v>
      </c>
      <c r="AD11" s="114">
        <f ca="1">SUMIF($B$8:$O$988,T11,$S$8:$S$988)</f>
        <v>0</v>
      </c>
      <c r="AF11" s="127">
        <f t="shared" si="39"/>
        <v>46026</v>
      </c>
      <c r="AG11" s="116"/>
      <c r="AH11" s="117">
        <f t="shared" si="20"/>
        <v>0</v>
      </c>
      <c r="AI11" s="90">
        <f t="shared" si="21"/>
        <v>0</v>
      </c>
      <c r="AJ11" s="90" t="e">
        <f>SUMIFS(#REF!,$C$8:$C$748,AF11,$B$8:$B$748,$T$8)</f>
        <v>#REF!</v>
      </c>
      <c r="AK11" s="90" t="e">
        <f>SUMIFS(#REF!,$C$8:$C$748,AF11,$B$8:$B$748,$T$8)</f>
        <v>#REF!</v>
      </c>
      <c r="AL11" s="90" t="e">
        <f>SUMIFS(#REF!,$C$8:$C$748,AF11,$B$8:$B$748,$T$8)</f>
        <v>#REF!</v>
      </c>
      <c r="AM11" s="90" t="e">
        <f>SUMIFS(#REF!,$C$8:$C$748,AF11,$B$8:$B$748,$T$8)</f>
        <v>#REF!</v>
      </c>
      <c r="AN11" s="128" t="e">
        <f>SUMIFS(#REF!,$C$8:$C$748,AF11,$B$8:$B$748,$T$8)</f>
        <v>#REF!</v>
      </c>
      <c r="AO11" s="90" t="e">
        <f>SUMIFS(#REF!,$C$8:$C$748,AF11,$B$8:$B$748,$T$8)</f>
        <v>#REF!</v>
      </c>
      <c r="AP11" s="90" t="e">
        <f>SUMIFS(#REF!,$C$8:$C$748,AF11,$B$8:$B$748,$T$8)</f>
        <v>#REF!</v>
      </c>
      <c r="AQ11" s="90" t="e">
        <f>SUMIFS(#REF!,$C$8:$C$748,AF11,$B$8:$B$748,$T$8)</f>
        <v>#REF!</v>
      </c>
      <c r="AR11" s="90" t="e">
        <f t="shared" si="22"/>
        <v>#REF!</v>
      </c>
      <c r="AS11" s="90"/>
      <c r="AT11" s="119" t="e">
        <f t="shared" si="2"/>
        <v>#REF!</v>
      </c>
      <c r="AV11" s="197">
        <f t="shared" si="23"/>
        <v>11</v>
      </c>
      <c r="AW11" s="123">
        <f t="shared" si="24"/>
        <v>4990.0175399999998</v>
      </c>
      <c r="AX11" s="123">
        <f t="shared" si="25"/>
        <v>1247.5044</v>
      </c>
      <c r="AY11" s="123">
        <f t="shared" si="26"/>
        <v>174.65061599999999</v>
      </c>
      <c r="AZ11" s="123">
        <f t="shared" si="27"/>
        <v>5688.62</v>
      </c>
      <c r="BA11" s="162">
        <v>5524.43</v>
      </c>
      <c r="BB11" s="163">
        <f t="shared" si="28"/>
        <v>164.1899999999996</v>
      </c>
      <c r="BD11" s="122">
        <f t="shared" si="29"/>
        <v>1</v>
      </c>
      <c r="BE11" s="123">
        <f t="shared" si="30"/>
        <v>599.98245999999995</v>
      </c>
      <c r="BF11" s="123">
        <f t="shared" si="31"/>
        <v>149.99562</v>
      </c>
      <c r="BG11" s="123">
        <f t="shared" si="32"/>
        <v>20.9993868</v>
      </c>
      <c r="BH11" s="123">
        <f t="shared" si="33"/>
        <v>683.98</v>
      </c>
      <c r="BI11" s="162">
        <v>661.2</v>
      </c>
      <c r="BJ11" s="163">
        <f t="shared" si="7"/>
        <v>22.779999999999973</v>
      </c>
      <c r="BL11" s="124">
        <f t="shared" si="8"/>
        <v>0</v>
      </c>
      <c r="BM11" s="102">
        <f t="shared" si="9"/>
        <v>0</v>
      </c>
      <c r="BN11" s="102" t="e">
        <f>SUMIFS(#REF!,$C$8:$C$748,AF11,$B$8:$B$748,$T$11)</f>
        <v>#REF!</v>
      </c>
      <c r="BO11" s="102" t="e">
        <f>SUMIFS(#REF!,$C$8:$C$748,AF11,$B$8:$B$748,$T$11)</f>
        <v>#REF!</v>
      </c>
      <c r="BP11" s="102" t="e">
        <f>SUMIFS(#REF!,$C$8:$C$748,AF11,$B$8:$B$748,$T$11)</f>
        <v>#REF!</v>
      </c>
      <c r="BQ11" s="102" t="e">
        <f>SUMIFS(#REF!,$C$8:$C$748,AF11,$B$8:$B$748,$T$11)</f>
        <v>#REF!</v>
      </c>
      <c r="BR11" s="125" t="e">
        <f>SUMIFS(#REF!,$C$8:$C$748,AF11,$B$8:$B$748,$T$11)</f>
        <v>#REF!</v>
      </c>
      <c r="BS11" s="102" t="e">
        <f>SUMIFS(#REF!,$C$8:$C$748,AF11,$B$8:$B$748,$T$11)</f>
        <v>#REF!</v>
      </c>
      <c r="BT11" s="102" t="e">
        <f>SUMIFS(#REF!,$C$8:$C$748,AF11,$B$8:$B$748,$T$11)</f>
        <v>#REF!</v>
      </c>
      <c r="BU11" s="102" t="e">
        <f>SUMIFS(#REF!,$C$8:$C$748,AF11,$B$8:$B$748,$T$11)</f>
        <v>#REF!</v>
      </c>
      <c r="BV11" s="102" t="e">
        <f t="shared" si="34"/>
        <v>#REF!</v>
      </c>
      <c r="BW11" s="102">
        <v>0</v>
      </c>
      <c r="BX11" s="126" t="e">
        <f t="shared" si="10"/>
        <v>#REF!</v>
      </c>
      <c r="BZ11" s="122">
        <f t="shared" si="11"/>
        <v>19</v>
      </c>
      <c r="CA11" s="123">
        <f t="shared" si="12"/>
        <v>10661.087730000001</v>
      </c>
      <c r="CB11" s="123">
        <f t="shared" si="35"/>
        <v>2665.2719299999999</v>
      </c>
      <c r="CC11" s="123">
        <f t="shared" si="36"/>
        <v>373.13807020000002</v>
      </c>
      <c r="CD11" s="123">
        <f t="shared" si="37"/>
        <v>12153.639999999996</v>
      </c>
      <c r="CE11" s="162">
        <v>12061.14</v>
      </c>
      <c r="CF11" s="163">
        <f t="shared" si="13"/>
        <v>92.499999999996362</v>
      </c>
      <c r="CH11" s="129">
        <f t="shared" si="14"/>
        <v>31</v>
      </c>
      <c r="CI11" s="123">
        <f t="shared" si="15"/>
        <v>16251.087730000001</v>
      </c>
      <c r="CJ11" s="123" t="e">
        <f t="shared" si="16"/>
        <v>#REF!</v>
      </c>
      <c r="CK11" s="123" t="e">
        <f t="shared" si="17"/>
        <v>#REF!</v>
      </c>
      <c r="CL11" s="123" t="e">
        <f>SUM(AL11,#REF!,BH11,BP11,CD11)</f>
        <v>#REF!</v>
      </c>
      <c r="CM11" s="123" t="e">
        <f>SUM(AM11,#REF!,#REF!,BQ11,#REF!)</f>
        <v>#REF!</v>
      </c>
      <c r="CN11" s="123" t="e">
        <f>SUM(AN11,#REF!,#REF!,BR11,#REF!)</f>
        <v>#REF!</v>
      </c>
      <c r="CO11" s="123" t="e">
        <f>SUM(AO11,#REF!,#REF!,BS11,#REF!)</f>
        <v>#REF!</v>
      </c>
      <c r="CP11" s="123" t="e">
        <f>SUM(AP11,#REF!,#REF!,BT11,#REF!)</f>
        <v>#REF!</v>
      </c>
      <c r="CQ11" s="123" t="e">
        <f>SUM(AQ11,#REF!,#REF!,BU11,#REF!)</f>
        <v>#REF!</v>
      </c>
      <c r="CR11" s="123" t="e">
        <f>SUM(AR11,AZ11,#REF!,BV11,#REF!)</f>
        <v>#REF!</v>
      </c>
      <c r="CS11" s="123">
        <f t="shared" si="18"/>
        <v>18246.77</v>
      </c>
      <c r="CT11" s="121" t="e">
        <f t="shared" si="38"/>
        <v>#REF!</v>
      </c>
    </row>
    <row r="12" spans="1:98" ht="15.75" thickBot="1" x14ac:dyDescent="0.3">
      <c r="A12" s="105">
        <f>+IF(B12="","",SUBTOTAL(3,B$8:B12))</f>
        <v>5</v>
      </c>
      <c r="B12" s="106" t="str">
        <f>'Detailed Report'!O8</f>
        <v>Fuddruckers - Concord Plaza Mall</v>
      </c>
      <c r="C12" s="107">
        <f>TRUNC('Detailed Report'!Q8,0)</f>
        <v>46023</v>
      </c>
      <c r="D12" s="108">
        <f>'Detailed Report'!P8</f>
        <v>3375457122</v>
      </c>
      <c r="E12" s="106" t="str">
        <f>'Detailed Report'!S8</f>
        <v>Successful</v>
      </c>
      <c r="F12" s="109">
        <f>IF(E12=$E$6,('Detailed Report'!Y8),IF(E12=$E$5,(0),0))</f>
        <v>526.98</v>
      </c>
      <c r="G12" s="106">
        <f>IF(E12=$E$6,('Detailed Report'!AQ8),IF(E12=$E$5,('Detailed Report'!AW8),0))</f>
        <v>462.26316000000003</v>
      </c>
      <c r="H12" s="106">
        <f>'Detailed Report'!AS8</f>
        <v>115.56579000000001</v>
      </c>
      <c r="I12" s="106">
        <f>'Detailed Report'!AT8</f>
        <v>16.179210600000001</v>
      </c>
      <c r="J12" s="106">
        <f>'Detailed Report'!AO8</f>
        <v>9.2221499999999992</v>
      </c>
      <c r="K12" s="106">
        <f>'Detailed Report'!AP8</f>
        <v>1.2911010000000001</v>
      </c>
      <c r="L12" s="106">
        <f>'Detailed Report'!AU8/1.14</f>
        <v>0</v>
      </c>
      <c r="M12" s="106">
        <f>'Detailed Report'!AU8-L12</f>
        <v>0</v>
      </c>
      <c r="N12" s="110">
        <f>'Detailed Report'!AW8</f>
        <v>350.52199999999999</v>
      </c>
      <c r="O12" s="111">
        <f t="shared" si="19"/>
        <v>111.74116000000004</v>
      </c>
      <c r="P12" s="110">
        <f>'Detailed Report'!AM8</f>
        <v>30</v>
      </c>
      <c r="Q12" s="110">
        <f>'Detailed Report'!AN8</f>
        <v>4.2</v>
      </c>
      <c r="R12" s="110">
        <f>'Detailed Report'!AU8/1.14</f>
        <v>0</v>
      </c>
      <c r="S12" s="110">
        <f>'Detailed Report'!AU8-'........... - Otlob'!R12</f>
        <v>0</v>
      </c>
      <c r="T12" s="112" t="s">
        <v>53</v>
      </c>
      <c r="U12" s="113">
        <f>COUNTIF($B$8:$B$988,T12)</f>
        <v>477</v>
      </c>
      <c r="V12" s="114">
        <f ca="1">SUMIF($B$8:$O$988,T12,$G$8:$G$988)</f>
        <v>296004.22313999996</v>
      </c>
      <c r="W12" s="114">
        <f ca="1">SUMIF($B$8:$O$988,T12,$H$8:$H$988)-773.47</f>
        <v>73881.49330000006</v>
      </c>
      <c r="X12" s="114">
        <f ca="1">SUMIF($B$8:$O$988,T12,$I$8:$I$988)-108.29</f>
        <v>10343.404861999994</v>
      </c>
      <c r="Y12" s="114">
        <f ca="1">SUMIF($B$8:$O$988,T12,$J$8:$J$988)</f>
        <v>4686.5071225000011</v>
      </c>
      <c r="Z12" s="114">
        <f ca="1">SUMIF($B$8:$O$988,T12,$K$8:$K$988)</f>
        <v>656.11099715000012</v>
      </c>
      <c r="AA12" s="114">
        <f ca="1">SUMIF($B$8:$S$988,T12,$P$8:$P$988)</f>
        <v>1320</v>
      </c>
      <c r="AB12" s="114">
        <f ca="1">SUMIF($B$8:$S$988,T12,$Q$8:$Q$988)</f>
        <v>184.7999999999999</v>
      </c>
      <c r="AC12" s="114">
        <f ca="1">SUMIF($B$8:$S$988,T12,$R$8:$R$988)</f>
        <v>7926.5526315789439</v>
      </c>
      <c r="AD12" s="114">
        <f ca="1">SUMIF($B$8:$O$988,T12,$S$8:$S$988)</f>
        <v>1109.7173684210511</v>
      </c>
      <c r="AF12" s="127">
        <f>AF11+1</f>
        <v>46027</v>
      </c>
      <c r="AG12" s="116"/>
      <c r="AH12" s="117">
        <f t="shared" si="20"/>
        <v>0</v>
      </c>
      <c r="AI12" s="90">
        <f t="shared" si="21"/>
        <v>0</v>
      </c>
      <c r="AJ12" s="90" t="e">
        <f>SUMIFS(#REF!,$C$8:$C$748,AF12,$B$8:$B$748,$T$8)</f>
        <v>#REF!</v>
      </c>
      <c r="AK12" s="90" t="e">
        <f>SUMIFS(#REF!,$C$8:$C$748,AF12,$B$8:$B$748,$T$8)</f>
        <v>#REF!</v>
      </c>
      <c r="AL12" s="90" t="e">
        <f>SUMIFS(#REF!,$C$8:$C$748,AF12,$B$8:$B$748,$T$8)</f>
        <v>#REF!</v>
      </c>
      <c r="AM12" s="90" t="e">
        <f>SUMIFS(#REF!,$C$8:$C$748,AF12,$B$8:$B$748,$T$8)</f>
        <v>#REF!</v>
      </c>
      <c r="AN12" s="128" t="e">
        <f>SUMIFS(#REF!,$C$8:$C$748,AF12,$B$8:$B$748,$T$8)</f>
        <v>#REF!</v>
      </c>
      <c r="AO12" s="90" t="e">
        <f>SUMIFS(#REF!,$C$8:$C$748,AF12,$B$8:$B$748,$T$8)</f>
        <v>#REF!</v>
      </c>
      <c r="AP12" s="90" t="e">
        <f>SUMIFS(#REF!,$C$8:$C$748,AF12,$B$8:$B$748,$T$8)</f>
        <v>#REF!</v>
      </c>
      <c r="AQ12" s="90" t="e">
        <f>SUMIFS(#REF!,$C$8:$C$748,AF12,$B$8:$B$748,$T$8)</f>
        <v>#REF!</v>
      </c>
      <c r="AR12" s="90" t="e">
        <f t="shared" si="22"/>
        <v>#REF!</v>
      </c>
      <c r="AS12" s="90"/>
      <c r="AT12" s="119" t="e">
        <f t="shared" si="2"/>
        <v>#REF!</v>
      </c>
      <c r="AV12" s="197">
        <f t="shared" si="23"/>
        <v>14</v>
      </c>
      <c r="AW12" s="123">
        <f t="shared" si="24"/>
        <v>5723.5964899999999</v>
      </c>
      <c r="AX12" s="123">
        <f t="shared" si="25"/>
        <v>1430.8991500000002</v>
      </c>
      <c r="AY12" s="123">
        <f t="shared" si="26"/>
        <v>200.32588100000001</v>
      </c>
      <c r="AZ12" s="123">
        <f t="shared" si="27"/>
        <v>6524.9000000000005</v>
      </c>
      <c r="BA12" s="162">
        <v>6574.38</v>
      </c>
      <c r="BB12" s="163">
        <f t="shared" si="28"/>
        <v>-49.479999999999563</v>
      </c>
      <c r="BD12" s="122">
        <f t="shared" si="29"/>
        <v>4</v>
      </c>
      <c r="BE12" s="123">
        <f t="shared" si="30"/>
        <v>1327.98245</v>
      </c>
      <c r="BF12" s="123">
        <f t="shared" si="31"/>
        <v>331.99561</v>
      </c>
      <c r="BG12" s="123">
        <f t="shared" si="32"/>
        <v>46.479385399999998</v>
      </c>
      <c r="BH12" s="123">
        <f t="shared" si="33"/>
        <v>1513.9</v>
      </c>
      <c r="BI12" s="162">
        <v>1510.49</v>
      </c>
      <c r="BJ12" s="163">
        <f t="shared" si="7"/>
        <v>3.4100000000000819</v>
      </c>
      <c r="BL12" s="124">
        <f t="shared" si="8"/>
        <v>0</v>
      </c>
      <c r="BM12" s="102">
        <f t="shared" si="9"/>
        <v>0</v>
      </c>
      <c r="BN12" s="102" t="e">
        <f>SUMIFS(#REF!,$C$8:$C$748,AF12,$B$8:$B$748,$T$11)</f>
        <v>#REF!</v>
      </c>
      <c r="BO12" s="102" t="e">
        <f>SUMIFS(#REF!,$C$8:$C$748,AF12,$B$8:$B$748,$T$11)</f>
        <v>#REF!</v>
      </c>
      <c r="BP12" s="102" t="e">
        <f>SUMIFS(#REF!,$C$8:$C$748,AF12,$B$8:$B$748,$T$11)</f>
        <v>#REF!</v>
      </c>
      <c r="BQ12" s="102" t="e">
        <f>SUMIFS(#REF!,$C$8:$C$748,AF12,$B$8:$B$748,$T$11)</f>
        <v>#REF!</v>
      </c>
      <c r="BR12" s="125" t="e">
        <f>SUMIFS(#REF!,$C$8:$C$748,AF12,$B$8:$B$748,$T$11)</f>
        <v>#REF!</v>
      </c>
      <c r="BS12" s="102" t="e">
        <f>SUMIFS(#REF!,$C$8:$C$748,AF12,$B$8:$B$748,$T$11)</f>
        <v>#REF!</v>
      </c>
      <c r="BT12" s="102" t="e">
        <f>SUMIFS(#REF!,$C$8:$C$748,AF12,$B$8:$B$748,$T$11)</f>
        <v>#REF!</v>
      </c>
      <c r="BU12" s="102" t="e">
        <f>SUMIFS(#REF!,$C$8:$C$748,AF12,$B$8:$B$748,$T$11)</f>
        <v>#REF!</v>
      </c>
      <c r="BV12" s="102" t="e">
        <f t="shared" si="34"/>
        <v>#REF!</v>
      </c>
      <c r="BW12" s="102">
        <v>0</v>
      </c>
      <c r="BX12" s="126" t="e">
        <f t="shared" si="10"/>
        <v>#REF!</v>
      </c>
      <c r="BZ12" s="122">
        <f t="shared" si="11"/>
        <v>8</v>
      </c>
      <c r="CA12" s="123">
        <f t="shared" si="12"/>
        <v>4792.5877099999998</v>
      </c>
      <c r="CB12" s="123">
        <f t="shared" si="35"/>
        <v>1198.1469400000001</v>
      </c>
      <c r="CC12" s="123">
        <f t="shared" si="36"/>
        <v>167.74057160000001</v>
      </c>
      <c r="CD12" s="123">
        <f t="shared" si="37"/>
        <v>5463.5499999999993</v>
      </c>
      <c r="CE12" s="162">
        <v>5458.73</v>
      </c>
      <c r="CF12" s="163">
        <f t="shared" si="13"/>
        <v>4.819999999999709</v>
      </c>
      <c r="CH12" s="129">
        <f t="shared" si="14"/>
        <v>26</v>
      </c>
      <c r="CI12" s="123">
        <f t="shared" si="15"/>
        <v>11844.166649999999</v>
      </c>
      <c r="CJ12" s="123" t="e">
        <f t="shared" si="16"/>
        <v>#REF!</v>
      </c>
      <c r="CK12" s="123" t="e">
        <f t="shared" si="17"/>
        <v>#REF!</v>
      </c>
      <c r="CL12" s="123" t="e">
        <f>SUM(AL12,#REF!,BH12,BP12,CD12)</f>
        <v>#REF!</v>
      </c>
      <c r="CM12" s="123" t="e">
        <f>SUM(AM12,#REF!,#REF!,BQ12,#REF!)</f>
        <v>#REF!</v>
      </c>
      <c r="CN12" s="123" t="e">
        <f>SUM(AN12,#REF!,#REF!,BR12,#REF!)</f>
        <v>#REF!</v>
      </c>
      <c r="CO12" s="123" t="e">
        <f>SUM(AO12,#REF!,#REF!,BS12,#REF!)</f>
        <v>#REF!</v>
      </c>
      <c r="CP12" s="123" t="e">
        <f>SUM(AP12,#REF!,#REF!,BT12,#REF!)</f>
        <v>#REF!</v>
      </c>
      <c r="CQ12" s="123" t="e">
        <f>SUM(AQ12,#REF!,#REF!,BU12,#REF!)</f>
        <v>#REF!</v>
      </c>
      <c r="CR12" s="123" t="e">
        <f>SUM(AR12,AZ12,#REF!,BV12,#REF!)</f>
        <v>#REF!</v>
      </c>
      <c r="CS12" s="123">
        <f t="shared" si="18"/>
        <v>13543.599999999999</v>
      </c>
      <c r="CT12" s="121" t="e">
        <f t="shared" si="38"/>
        <v>#REF!</v>
      </c>
    </row>
    <row r="13" spans="1:98" ht="16.5" thickTop="1" thickBot="1" x14ac:dyDescent="0.3">
      <c r="A13" s="105">
        <f>+IF(B13="","",SUBTOTAL(3,B$8:B13))</f>
        <v>6</v>
      </c>
      <c r="B13" s="106" t="str">
        <f>'Detailed Report'!O9</f>
        <v>Fuddruckers - Concord Plaza Mall</v>
      </c>
      <c r="C13" s="107">
        <f>TRUNC('Detailed Report'!Q9,0)</f>
        <v>46023</v>
      </c>
      <c r="D13" s="108">
        <f>'Detailed Report'!P9</f>
        <v>3375470393</v>
      </c>
      <c r="E13" s="106" t="str">
        <f>'Detailed Report'!S9</f>
        <v>Successful</v>
      </c>
      <c r="F13" s="109">
        <f>IF(E13=$E$6,('Detailed Report'!Y9),IF(E13=$E$5,(0),0))</f>
        <v>795.65</v>
      </c>
      <c r="G13" s="106">
        <f>IF(E13=$E$6,('Detailed Report'!AQ9),IF(E13=$E$5,('Detailed Report'!AW9),0))</f>
        <v>697.93859999999995</v>
      </c>
      <c r="H13" s="106">
        <f>'Detailed Report'!AS9</f>
        <v>174.48464999999999</v>
      </c>
      <c r="I13" s="106">
        <f>'Detailed Report'!AT9</f>
        <v>24.427851</v>
      </c>
      <c r="J13" s="106">
        <f>'Detailed Report'!AO9</f>
        <v>13.923875000000001</v>
      </c>
      <c r="K13" s="106">
        <f>'Detailed Report'!AP9</f>
        <v>1.9493425</v>
      </c>
      <c r="L13" s="106">
        <f>'Detailed Report'!AU9/1.14</f>
        <v>30.692982456140356</v>
      </c>
      <c r="M13" s="106">
        <f>'Detailed Report'!AU9-L13</f>
        <v>4.2970175438596456</v>
      </c>
      <c r="N13" s="110">
        <f>'Detailed Report'!AW9</f>
        <v>511.67399999999998</v>
      </c>
      <c r="O13" s="111">
        <f t="shared" si="19"/>
        <v>186.26459999999997</v>
      </c>
      <c r="P13" s="110">
        <f>'Detailed Report'!AM9</f>
        <v>30</v>
      </c>
      <c r="Q13" s="110">
        <f>'Detailed Report'!AN9</f>
        <v>4.2</v>
      </c>
      <c r="R13" s="110">
        <f>'Detailed Report'!AU9/1.14</f>
        <v>30.692982456140356</v>
      </c>
      <c r="S13" s="110">
        <f>'Detailed Report'!AU9-'........... - Otlob'!R13</f>
        <v>4.2970175438596456</v>
      </c>
      <c r="T13" s="130" t="s">
        <v>76</v>
      </c>
      <c r="U13" s="131">
        <f t="shared" ref="U13:AD13" si="40">SUM(U8:U12)</f>
        <v>981</v>
      </c>
      <c r="V13" s="132">
        <f t="shared" ca="1" si="40"/>
        <v>550264.82713999972</v>
      </c>
      <c r="W13" s="133">
        <f t="shared" ca="1" si="40"/>
        <v>137771.14956000005</v>
      </c>
      <c r="X13" s="133">
        <f t="shared" ca="1" si="40"/>
        <v>19287.956738399989</v>
      </c>
      <c r="Y13" s="133">
        <f t="shared" ca="1" si="40"/>
        <v>8722.5208244999976</v>
      </c>
      <c r="Z13" s="133">
        <f t="shared" ca="1" si="40"/>
        <v>1221.1529154299997</v>
      </c>
      <c r="AA13" s="133">
        <f t="shared" ca="1" si="40"/>
        <v>2730</v>
      </c>
      <c r="AB13" s="133">
        <f t="shared" ca="1" si="40"/>
        <v>382.2</v>
      </c>
      <c r="AC13" s="133">
        <f t="shared" ca="1" si="40"/>
        <v>15064.429824561417</v>
      </c>
      <c r="AD13" s="133">
        <f t="shared" ca="1" si="40"/>
        <v>2109.0201754385944</v>
      </c>
      <c r="AF13" s="127">
        <f t="shared" si="39"/>
        <v>46028</v>
      </c>
      <c r="AG13" s="116"/>
      <c r="AH13" s="117">
        <f t="shared" si="20"/>
        <v>0</v>
      </c>
      <c r="AI13" s="90">
        <f t="shared" si="21"/>
        <v>0</v>
      </c>
      <c r="AJ13" s="90" t="e">
        <f>SUMIFS(#REF!,$C$8:$C$748,AF13,$B$8:$B$748,$T$8)</f>
        <v>#REF!</v>
      </c>
      <c r="AK13" s="90" t="e">
        <f>SUMIFS(#REF!,$C$8:$C$748,AF13,$B$8:$B$748,$T$8)</f>
        <v>#REF!</v>
      </c>
      <c r="AL13" s="90" t="e">
        <f>SUMIFS(#REF!,$C$8:$C$748,AF13,$B$8:$B$748,$T$8)</f>
        <v>#REF!</v>
      </c>
      <c r="AM13" s="90" t="e">
        <f>SUMIFS(#REF!,$C$8:$C$748,AF13,$B$8:$B$748,$T$8)</f>
        <v>#REF!</v>
      </c>
      <c r="AN13" s="128" t="e">
        <f>SUMIFS(#REF!,$C$8:$C$748,AF13,$B$8:$B$748,$T$8)</f>
        <v>#REF!</v>
      </c>
      <c r="AO13" s="90" t="e">
        <f>SUMIFS(#REF!,$C$8:$C$748,AF13,$B$8:$B$748,$T$8)</f>
        <v>#REF!</v>
      </c>
      <c r="AP13" s="90" t="e">
        <f>SUMIFS(#REF!,$C$8:$C$748,AF13,$B$8:$B$748,$T$8)</f>
        <v>#REF!</v>
      </c>
      <c r="AQ13" s="90" t="e">
        <f>SUMIFS(#REF!,$C$8:$C$748,AF13,$B$8:$B$748,$T$8)</f>
        <v>#REF!</v>
      </c>
      <c r="AR13" s="90" t="e">
        <f t="shared" si="22"/>
        <v>#REF!</v>
      </c>
      <c r="AS13" s="90"/>
      <c r="AT13" s="119" t="e">
        <f t="shared" si="2"/>
        <v>#REF!</v>
      </c>
      <c r="AV13" s="197">
        <f t="shared" si="23"/>
        <v>11</v>
      </c>
      <c r="AW13" s="123">
        <f t="shared" si="24"/>
        <v>7560.5877299999984</v>
      </c>
      <c r="AX13" s="123">
        <f t="shared" si="25"/>
        <v>1890.1469500000001</v>
      </c>
      <c r="AY13" s="123">
        <f t="shared" si="26"/>
        <v>264.62057300000004</v>
      </c>
      <c r="AZ13" s="123">
        <f t="shared" si="27"/>
        <v>8619.07</v>
      </c>
      <c r="BA13" s="162">
        <v>8781.3700000000008</v>
      </c>
      <c r="BB13" s="163">
        <f t="shared" si="28"/>
        <v>-162.30000000000109</v>
      </c>
      <c r="BD13" s="122">
        <f t="shared" si="29"/>
        <v>1</v>
      </c>
      <c r="BE13" s="123">
        <f t="shared" si="30"/>
        <v>311.40350999999998</v>
      </c>
      <c r="BF13" s="123">
        <f t="shared" si="31"/>
        <v>77.850880000000004</v>
      </c>
      <c r="BG13" s="123">
        <f t="shared" si="32"/>
        <v>10.8991232</v>
      </c>
      <c r="BH13" s="123">
        <f t="shared" si="33"/>
        <v>355</v>
      </c>
      <c r="BI13" s="162">
        <v>348.84</v>
      </c>
      <c r="BJ13" s="163">
        <f t="shared" si="7"/>
        <v>6.160000000000025</v>
      </c>
      <c r="BL13" s="124">
        <f t="shared" si="8"/>
        <v>0</v>
      </c>
      <c r="BM13" s="102">
        <f t="shared" si="9"/>
        <v>0</v>
      </c>
      <c r="BN13" s="102" t="e">
        <f>SUMIFS(#REF!,$C$8:$C$748,AF13,$B$8:$B$748,$T$11)</f>
        <v>#REF!</v>
      </c>
      <c r="BO13" s="102" t="e">
        <f>SUMIFS(#REF!,$C$8:$C$748,AF13,$B$8:$B$748,$T$11)</f>
        <v>#REF!</v>
      </c>
      <c r="BP13" s="102" t="e">
        <f>SUMIFS(#REF!,$C$8:$C$748,AF13,$B$8:$B$748,$T$11)</f>
        <v>#REF!</v>
      </c>
      <c r="BQ13" s="102" t="e">
        <f>SUMIFS(#REF!,$C$8:$C$748,AF13,$B$8:$B$748,$T$11)</f>
        <v>#REF!</v>
      </c>
      <c r="BR13" s="125" t="e">
        <f>SUMIFS(#REF!,$C$8:$C$748,AF13,$B$8:$B$748,$T$11)</f>
        <v>#REF!</v>
      </c>
      <c r="BS13" s="102" t="e">
        <f>SUMIFS(#REF!,$C$8:$C$748,AF13,$B$8:$B$748,$T$11)</f>
        <v>#REF!</v>
      </c>
      <c r="BT13" s="102" t="e">
        <f>SUMIFS(#REF!,$C$8:$C$748,AF13,$B$8:$B$748,$T$11)</f>
        <v>#REF!</v>
      </c>
      <c r="BU13" s="102" t="e">
        <f>SUMIFS(#REF!,$C$8:$C$748,AF13,$B$8:$B$748,$T$11)</f>
        <v>#REF!</v>
      </c>
      <c r="BV13" s="102" t="e">
        <f t="shared" si="34"/>
        <v>#REF!</v>
      </c>
      <c r="BW13" s="102">
        <v>0</v>
      </c>
      <c r="BX13" s="126" t="e">
        <f t="shared" si="10"/>
        <v>#REF!</v>
      </c>
      <c r="BZ13" s="122">
        <f t="shared" si="11"/>
        <v>13</v>
      </c>
      <c r="CA13" s="123">
        <f t="shared" si="12"/>
        <v>9715.7631700000002</v>
      </c>
      <c r="CB13" s="123">
        <f t="shared" si="35"/>
        <v>2428.9407999999999</v>
      </c>
      <c r="CC13" s="123">
        <f t="shared" si="36"/>
        <v>340.05171200000001</v>
      </c>
      <c r="CD13" s="123">
        <f t="shared" si="37"/>
        <v>11075.97</v>
      </c>
      <c r="CE13" s="162">
        <v>11091.06</v>
      </c>
      <c r="CF13" s="163">
        <f t="shared" si="13"/>
        <v>-15.090000000000146</v>
      </c>
      <c r="CH13" s="129">
        <f t="shared" si="14"/>
        <v>25</v>
      </c>
      <c r="CI13" s="123">
        <f t="shared" si="15"/>
        <v>17587.754409999998</v>
      </c>
      <c r="CJ13" s="123" t="e">
        <f t="shared" si="16"/>
        <v>#REF!</v>
      </c>
      <c r="CK13" s="123" t="e">
        <f t="shared" si="17"/>
        <v>#REF!</v>
      </c>
      <c r="CL13" s="123" t="e">
        <f>SUM(AL13,#REF!,BH13,BP13,CD13)</f>
        <v>#REF!</v>
      </c>
      <c r="CM13" s="123" t="e">
        <f>SUM(AM13,#REF!,#REF!,BQ13,#REF!)</f>
        <v>#REF!</v>
      </c>
      <c r="CN13" s="123" t="e">
        <f>SUM(AN13,#REF!,#REF!,BR13,#REF!)</f>
        <v>#REF!</v>
      </c>
      <c r="CO13" s="123" t="e">
        <f>SUM(AO13,#REF!,#REF!,BS13,#REF!)</f>
        <v>#REF!</v>
      </c>
      <c r="CP13" s="123" t="e">
        <f>SUM(AP13,#REF!,#REF!,BT13,#REF!)</f>
        <v>#REF!</v>
      </c>
      <c r="CQ13" s="123" t="e">
        <f>SUM(AQ13,#REF!,#REF!,BU13,#REF!)</f>
        <v>#REF!</v>
      </c>
      <c r="CR13" s="123" t="e">
        <f>SUM(AR13,AZ13,#REF!,BV13,#REF!)</f>
        <v>#REF!</v>
      </c>
      <c r="CS13" s="123">
        <f t="shared" si="18"/>
        <v>20221.27</v>
      </c>
      <c r="CT13" s="121" t="e">
        <f t="shared" si="38"/>
        <v>#REF!</v>
      </c>
    </row>
    <row r="14" spans="1:98" ht="16.5" thickTop="1" thickBot="1" x14ac:dyDescent="0.3">
      <c r="A14" s="105">
        <f>+IF(B14="","",SUBTOTAL(3,B$8:B14))</f>
        <v>7</v>
      </c>
      <c r="B14" s="106" t="str">
        <f>'Detailed Report'!O10</f>
        <v>Fuddruckers - New Maadi</v>
      </c>
      <c r="C14" s="107">
        <f>TRUNC('Detailed Report'!Q10,0)</f>
        <v>46023</v>
      </c>
      <c r="D14" s="108">
        <f>'Detailed Report'!P10</f>
        <v>3375545451</v>
      </c>
      <c r="E14" s="106" t="str">
        <f>'Detailed Report'!S10</f>
        <v>Successful</v>
      </c>
      <c r="F14" s="109">
        <f>IF(E14=$E$6,('Detailed Report'!Y10),IF(E14=$E$5,(0),0))</f>
        <v>844</v>
      </c>
      <c r="G14" s="106">
        <f>IF(E14=$E$6,('Detailed Report'!AQ10),IF(E14=$E$5,('Detailed Report'!AW10),0))</f>
        <v>740.35087999999996</v>
      </c>
      <c r="H14" s="106">
        <f>'Detailed Report'!AS10</f>
        <v>185.08771999999999</v>
      </c>
      <c r="I14" s="106">
        <f>'Detailed Report'!AT10</f>
        <v>25.912280800000001</v>
      </c>
      <c r="J14" s="106">
        <f>'Detailed Report'!AO10</f>
        <v>14.77</v>
      </c>
      <c r="K14" s="106">
        <f>'Detailed Report'!AP10</f>
        <v>2.0678000000000001</v>
      </c>
      <c r="L14" s="106">
        <f>'Detailed Report'!AU10/1.14</f>
        <v>25.42982456140351</v>
      </c>
      <c r="M14" s="106">
        <f>'Detailed Report'!AU10-L14</f>
        <v>3.5601754385964881</v>
      </c>
      <c r="N14" s="110">
        <f>'Detailed Report'!AW10</f>
        <v>587.17200000000003</v>
      </c>
      <c r="O14" s="111">
        <f t="shared" si="19"/>
        <v>153.17887999999994</v>
      </c>
      <c r="P14" s="110">
        <f>'Detailed Report'!AM10</f>
        <v>0</v>
      </c>
      <c r="Q14" s="110">
        <f>'Detailed Report'!AN10</f>
        <v>0</v>
      </c>
      <c r="R14" s="110">
        <f>'Detailed Report'!AU10/1.14</f>
        <v>25.42982456140351</v>
      </c>
      <c r="S14" s="110">
        <f>'Detailed Report'!AU10-'........... - Otlob'!R14</f>
        <v>3.5601754385964881</v>
      </c>
      <c r="X14" s="48">
        <f ca="1">W13+X13+Y13+Z13+AA13+AB13+AC13+AD13</f>
        <v>187288.43003833006</v>
      </c>
      <c r="AF14" s="127">
        <f t="shared" si="39"/>
        <v>46029</v>
      </c>
      <c r="AG14" s="116"/>
      <c r="AH14" s="117">
        <f t="shared" si="20"/>
        <v>0</v>
      </c>
      <c r="AI14" s="90">
        <f t="shared" si="21"/>
        <v>0</v>
      </c>
      <c r="AJ14" s="90" t="e">
        <f>SUMIFS(#REF!,$C$8:$C$748,AF14,$B$8:$B$748,$T$8)</f>
        <v>#REF!</v>
      </c>
      <c r="AK14" s="90" t="e">
        <f>SUMIFS(#REF!,$C$8:$C$748,AF14,$B$8:$B$748,$T$8)</f>
        <v>#REF!</v>
      </c>
      <c r="AL14" s="90" t="e">
        <f>SUMIFS(#REF!,$C$8:$C$748,AF14,$B$8:$B$748,$T$8)</f>
        <v>#REF!</v>
      </c>
      <c r="AM14" s="90" t="e">
        <f>SUMIFS(#REF!,$C$8:$C$748,AF14,$B$8:$B$748,$T$8)</f>
        <v>#REF!</v>
      </c>
      <c r="AN14" s="128" t="e">
        <f>SUMIFS(#REF!,$C$8:$C$748,AF14,$B$8:$B$748,$T$8)</f>
        <v>#REF!</v>
      </c>
      <c r="AO14" s="90" t="e">
        <f>SUMIFS(#REF!,$C$8:$C$748,AF14,$B$8:$B$748,$T$8)</f>
        <v>#REF!</v>
      </c>
      <c r="AP14" s="90" t="e">
        <f>SUMIFS(#REF!,$C$8:$C$748,AF14,$B$8:$B$748,$T$8)</f>
        <v>#REF!</v>
      </c>
      <c r="AQ14" s="90" t="e">
        <f>SUMIFS(#REF!,$C$8:$C$748,AF14,$B$8:$B$748,$T$8)</f>
        <v>#REF!</v>
      </c>
      <c r="AR14" s="90" t="e">
        <f t="shared" si="22"/>
        <v>#REF!</v>
      </c>
      <c r="AS14" s="90"/>
      <c r="AT14" s="119" t="e">
        <f t="shared" si="2"/>
        <v>#REF!</v>
      </c>
      <c r="AV14" s="197">
        <f t="shared" si="23"/>
        <v>10</v>
      </c>
      <c r="AW14" s="123">
        <f t="shared" si="24"/>
        <v>5060.9736800000001</v>
      </c>
      <c r="AX14" s="123">
        <f t="shared" si="25"/>
        <v>1265.24343</v>
      </c>
      <c r="AY14" s="123">
        <f t="shared" si="26"/>
        <v>177.13408019999997</v>
      </c>
      <c r="AZ14" s="123">
        <f t="shared" si="27"/>
        <v>5769.5100000000011</v>
      </c>
      <c r="BA14" s="162">
        <v>5753.58</v>
      </c>
      <c r="BB14" s="163">
        <f t="shared" si="28"/>
        <v>15.930000000001201</v>
      </c>
      <c r="BD14" s="122">
        <f t="shared" si="29"/>
        <v>1</v>
      </c>
      <c r="BE14" s="123">
        <f t="shared" si="30"/>
        <v>455.25439</v>
      </c>
      <c r="BF14" s="123">
        <f t="shared" si="31"/>
        <v>113.81359999999999</v>
      </c>
      <c r="BG14" s="123">
        <f t="shared" si="32"/>
        <v>15.933904</v>
      </c>
      <c r="BH14" s="123">
        <f t="shared" si="33"/>
        <v>518.99</v>
      </c>
      <c r="BI14" s="162">
        <v>509.58</v>
      </c>
      <c r="BJ14" s="163">
        <f t="shared" si="7"/>
        <v>9.410000000000025</v>
      </c>
      <c r="BL14" s="124">
        <f t="shared" si="8"/>
        <v>0</v>
      </c>
      <c r="BM14" s="102">
        <f t="shared" si="9"/>
        <v>0</v>
      </c>
      <c r="BN14" s="102" t="e">
        <f>SUMIFS(#REF!,$C$8:$C$748,AF14,$B$8:$B$748,$T$11)</f>
        <v>#REF!</v>
      </c>
      <c r="BO14" s="102" t="e">
        <f>SUMIFS(#REF!,$C$8:$C$748,AF14,$B$8:$B$748,$T$11)</f>
        <v>#REF!</v>
      </c>
      <c r="BP14" s="102" t="e">
        <f>SUMIFS(#REF!,$C$8:$C$748,AF14,$B$8:$B$748,$T$11)</f>
        <v>#REF!</v>
      </c>
      <c r="BQ14" s="102" t="e">
        <f>SUMIFS(#REF!,$C$8:$C$748,AF14,$B$8:$B$748,$T$11)</f>
        <v>#REF!</v>
      </c>
      <c r="BR14" s="125" t="e">
        <f>SUMIFS(#REF!,$C$8:$C$748,AF14,$B$8:$B$748,$T$11)</f>
        <v>#REF!</v>
      </c>
      <c r="BS14" s="102" t="e">
        <f>SUMIFS(#REF!,$C$8:$C$748,AF14,$B$8:$B$748,$T$11)</f>
        <v>#REF!</v>
      </c>
      <c r="BT14" s="102" t="e">
        <f>SUMIFS(#REF!,$C$8:$C$748,AF14,$B$8:$B$748,$T$11)</f>
        <v>#REF!</v>
      </c>
      <c r="BU14" s="102" t="e">
        <f>SUMIFS(#REF!,$C$8:$C$748,AF14,$B$8:$B$748,$T$11)</f>
        <v>#REF!</v>
      </c>
      <c r="BV14" s="102" t="e">
        <f t="shared" si="34"/>
        <v>#REF!</v>
      </c>
      <c r="BW14" s="102">
        <v>0</v>
      </c>
      <c r="BX14" s="126" t="e">
        <f t="shared" si="10"/>
        <v>#REF!</v>
      </c>
      <c r="BZ14" s="122">
        <f t="shared" si="11"/>
        <v>6</v>
      </c>
      <c r="CA14" s="123">
        <f t="shared" si="12"/>
        <v>3989.5087699999999</v>
      </c>
      <c r="CB14" s="123">
        <f t="shared" si="35"/>
        <v>997.3771999999999</v>
      </c>
      <c r="CC14" s="123">
        <f t="shared" si="36"/>
        <v>139.63280800000001</v>
      </c>
      <c r="CD14" s="123">
        <f t="shared" si="37"/>
        <v>4548.04</v>
      </c>
      <c r="CE14" s="162">
        <v>4590.76</v>
      </c>
      <c r="CF14" s="163">
        <f t="shared" si="13"/>
        <v>-42.720000000000255</v>
      </c>
      <c r="CH14" s="129">
        <f t="shared" si="14"/>
        <v>17</v>
      </c>
      <c r="CI14" s="123">
        <f t="shared" si="15"/>
        <v>9505.7368399999996</v>
      </c>
      <c r="CJ14" s="123" t="e">
        <f t="shared" si="16"/>
        <v>#REF!</v>
      </c>
      <c r="CK14" s="123" t="e">
        <f t="shared" si="17"/>
        <v>#REF!</v>
      </c>
      <c r="CL14" s="123" t="e">
        <f>SUM(AL14,#REF!,BH14,BP14,CD14)</f>
        <v>#REF!</v>
      </c>
      <c r="CM14" s="123" t="e">
        <f>SUM(AM14,#REF!,#REF!,BQ14,#REF!)</f>
        <v>#REF!</v>
      </c>
      <c r="CN14" s="123" t="e">
        <f>SUM(AN14,#REF!,#REF!,BR14,#REF!)</f>
        <v>#REF!</v>
      </c>
      <c r="CO14" s="123" t="e">
        <f>SUM(AO14,#REF!,#REF!,BS14,#REF!)</f>
        <v>#REF!</v>
      </c>
      <c r="CP14" s="123" t="e">
        <f>SUM(AP14,#REF!,#REF!,BT14,#REF!)</f>
        <v>#REF!</v>
      </c>
      <c r="CQ14" s="123" t="e">
        <f>SUM(AQ14,#REF!,#REF!,BU14,#REF!)</f>
        <v>#REF!</v>
      </c>
      <c r="CR14" s="123" t="e">
        <f>SUM(AR14,AZ14,#REF!,BV14,#REF!)</f>
        <v>#REF!</v>
      </c>
      <c r="CS14" s="123">
        <f t="shared" si="18"/>
        <v>10853.92</v>
      </c>
      <c r="CT14" s="121" t="e">
        <f t="shared" si="38"/>
        <v>#REF!</v>
      </c>
    </row>
    <row r="15" spans="1:98" ht="15.75" thickBot="1" x14ac:dyDescent="0.3">
      <c r="A15" s="105">
        <f>+IF(B15="","",SUBTOTAL(3,B$8:B15))</f>
        <v>8</v>
      </c>
      <c r="B15" s="106" t="str">
        <f>'Detailed Report'!O11</f>
        <v>Fuddruckers - New Maadi</v>
      </c>
      <c r="C15" s="107">
        <f>TRUNC('Detailed Report'!Q11,0)</f>
        <v>46023</v>
      </c>
      <c r="D15" s="108">
        <f>'Detailed Report'!P11</f>
        <v>3375562796</v>
      </c>
      <c r="E15" s="106" t="str">
        <f>'Detailed Report'!S11</f>
        <v>Successful</v>
      </c>
      <c r="F15" s="109">
        <f>IF(E15=$E$6,('Detailed Report'!Y11),IF(E15=$E$5,(0),0))</f>
        <v>404.99</v>
      </c>
      <c r="G15" s="106">
        <f>IF(E15=$E$6,('Detailed Report'!AQ11),IF(E15=$E$5,('Detailed Report'!AW11),0))</f>
        <v>355.25439</v>
      </c>
      <c r="H15" s="106">
        <f>'Detailed Report'!AS11</f>
        <v>88.813599999999994</v>
      </c>
      <c r="I15" s="106">
        <f>'Detailed Report'!AT11</f>
        <v>12.433904</v>
      </c>
      <c r="J15" s="106">
        <f>'Detailed Report'!AO11</f>
        <v>0</v>
      </c>
      <c r="K15" s="106">
        <f>'Detailed Report'!AP11</f>
        <v>0</v>
      </c>
      <c r="L15" s="106">
        <f>'Detailed Report'!AU11/1.14</f>
        <v>0</v>
      </c>
      <c r="M15" s="106">
        <f>'Detailed Report'!AU11-L15</f>
        <v>0</v>
      </c>
      <c r="N15" s="110">
        <f>'Detailed Report'!AW11</f>
        <v>303.74200000000002</v>
      </c>
      <c r="O15" s="111">
        <f t="shared" si="19"/>
        <v>51.512389999999982</v>
      </c>
      <c r="P15" s="110">
        <f>'Detailed Report'!AM11</f>
        <v>0</v>
      </c>
      <c r="Q15" s="110">
        <f>'Detailed Report'!AN11</f>
        <v>0</v>
      </c>
      <c r="R15" s="110">
        <f>'Detailed Report'!AU11/1.14</f>
        <v>0</v>
      </c>
      <c r="S15" s="110">
        <f>'Detailed Report'!AU11-'........... - Otlob'!R15</f>
        <v>0</v>
      </c>
      <c r="AF15" s="127">
        <f t="shared" si="39"/>
        <v>46030</v>
      </c>
      <c r="AG15" s="116"/>
      <c r="AH15" s="117">
        <f t="shared" si="20"/>
        <v>0</v>
      </c>
      <c r="AI15" s="90">
        <f t="shared" si="21"/>
        <v>0</v>
      </c>
      <c r="AJ15" s="90" t="e">
        <f>SUMIFS(#REF!,$C$8:$C$748,AF15,$B$8:$B$748,$T$8)</f>
        <v>#REF!</v>
      </c>
      <c r="AK15" s="90" t="e">
        <f>SUMIFS(#REF!,$C$8:$C$748,AF15,$B$8:$B$748,$T$8)</f>
        <v>#REF!</v>
      </c>
      <c r="AL15" s="90" t="e">
        <f>SUMIFS(#REF!,$C$8:$C$748,AF15,$B$8:$B$748,$T$8)</f>
        <v>#REF!</v>
      </c>
      <c r="AM15" s="90" t="e">
        <f>SUMIFS(#REF!,$C$8:$C$748,AF15,$B$8:$B$748,$T$8)</f>
        <v>#REF!</v>
      </c>
      <c r="AN15" s="128" t="e">
        <f>SUMIFS(#REF!,$C$8:$C$748,AF15,$B$8:$B$748,$T$8)</f>
        <v>#REF!</v>
      </c>
      <c r="AO15" s="90" t="e">
        <f>SUMIFS(#REF!,$C$8:$C$748,AF15,$B$8:$B$748,$T$8)</f>
        <v>#REF!</v>
      </c>
      <c r="AP15" s="90" t="e">
        <f>SUMIFS(#REF!,$C$8:$C$748,AF15,$B$8:$B$748,$T$8)</f>
        <v>#REF!</v>
      </c>
      <c r="AQ15" s="90" t="e">
        <f>SUMIFS(#REF!,$C$8:$C$748,AF15,$B$8:$B$748,$T$8)</f>
        <v>#REF!</v>
      </c>
      <c r="AR15" s="90" t="e">
        <f t="shared" si="22"/>
        <v>#REF!</v>
      </c>
      <c r="AS15" s="90"/>
      <c r="AT15" s="119" t="e">
        <f t="shared" si="2"/>
        <v>#REF!</v>
      </c>
      <c r="AV15" s="197">
        <f t="shared" si="23"/>
        <v>11</v>
      </c>
      <c r="AW15" s="123">
        <f t="shared" si="24"/>
        <v>4469.4298100000005</v>
      </c>
      <c r="AX15" s="123">
        <f t="shared" si="25"/>
        <v>1117.3574699999999</v>
      </c>
      <c r="AY15" s="123">
        <f t="shared" si="26"/>
        <v>156.43004579999999</v>
      </c>
      <c r="AZ15" s="123">
        <f t="shared" si="27"/>
        <v>5095.1499999999996</v>
      </c>
      <c r="BA15" s="162">
        <v>5074.1899999999996</v>
      </c>
      <c r="BB15" s="163">
        <f t="shared" si="28"/>
        <v>20.960000000000036</v>
      </c>
      <c r="BD15" s="122">
        <f t="shared" si="29"/>
        <v>4</v>
      </c>
      <c r="BE15" s="123">
        <f t="shared" si="30"/>
        <v>1617.76316</v>
      </c>
      <c r="BF15" s="123">
        <f t="shared" si="31"/>
        <v>404.44079999999997</v>
      </c>
      <c r="BG15" s="123">
        <f t="shared" si="32"/>
        <v>56.621711999999995</v>
      </c>
      <c r="BH15" s="123">
        <f t="shared" si="33"/>
        <v>1844.25</v>
      </c>
      <c r="BI15" s="162">
        <v>1843.38</v>
      </c>
      <c r="BJ15" s="163">
        <f t="shared" si="7"/>
        <v>0.86999999999989086</v>
      </c>
      <c r="BL15" s="124">
        <f t="shared" si="8"/>
        <v>0</v>
      </c>
      <c r="BM15" s="102">
        <f t="shared" si="9"/>
        <v>0</v>
      </c>
      <c r="BN15" s="102" t="e">
        <f>SUMIFS(#REF!,$C$8:$C$748,AF15,$B$8:$B$748,$T$11)</f>
        <v>#REF!</v>
      </c>
      <c r="BO15" s="102" t="e">
        <f>SUMIFS(#REF!,$C$8:$C$748,AF15,$B$8:$B$748,$T$11)</f>
        <v>#REF!</v>
      </c>
      <c r="BP15" s="102" t="e">
        <f>SUMIFS(#REF!,$C$8:$C$748,AF15,$B$8:$B$748,$T$11)</f>
        <v>#REF!</v>
      </c>
      <c r="BQ15" s="102" t="e">
        <f>SUMIFS(#REF!,$C$8:$C$748,AF15,$B$8:$B$748,$T$11)</f>
        <v>#REF!</v>
      </c>
      <c r="BR15" s="125" t="e">
        <f>SUMIFS(#REF!,$C$8:$C$748,AF15,$B$8:$B$748,$T$11)</f>
        <v>#REF!</v>
      </c>
      <c r="BS15" s="102" t="e">
        <f>SUMIFS(#REF!,$C$8:$C$748,AF15,$B$8:$B$748,$T$11)</f>
        <v>#REF!</v>
      </c>
      <c r="BT15" s="102" t="e">
        <f>SUMIFS(#REF!,$C$8:$C$748,AF15,$B$8:$B$748,$T$11)</f>
        <v>#REF!</v>
      </c>
      <c r="BU15" s="102" t="e">
        <f>SUMIFS(#REF!,$C$8:$C$748,AF15,$B$8:$B$748,$T$11)</f>
        <v>#REF!</v>
      </c>
      <c r="BV15" s="102" t="e">
        <f t="shared" si="34"/>
        <v>#REF!</v>
      </c>
      <c r="BW15" s="102">
        <v>0</v>
      </c>
      <c r="BX15" s="126" t="e">
        <f t="shared" si="10"/>
        <v>#REF!</v>
      </c>
      <c r="BZ15" s="122">
        <f t="shared" si="11"/>
        <v>18</v>
      </c>
      <c r="CA15" s="123">
        <f t="shared" si="12"/>
        <v>10550.192980000002</v>
      </c>
      <c r="CB15" s="123">
        <f t="shared" si="35"/>
        <v>2637.5482799999995</v>
      </c>
      <c r="CC15" s="123">
        <f t="shared" si="36"/>
        <v>369.25675919999998</v>
      </c>
      <c r="CD15" s="123">
        <f t="shared" si="37"/>
        <v>11946.279999999997</v>
      </c>
      <c r="CE15" s="162">
        <v>11730.59</v>
      </c>
      <c r="CF15" s="163">
        <f t="shared" si="13"/>
        <v>215.68999999999687</v>
      </c>
      <c r="CH15" s="134">
        <f t="shared" si="14"/>
        <v>33</v>
      </c>
      <c r="CI15" s="123">
        <f t="shared" si="15"/>
        <v>16637.385950000004</v>
      </c>
      <c r="CJ15" s="123" t="e">
        <f t="shared" si="16"/>
        <v>#REF!</v>
      </c>
      <c r="CK15" s="123" t="e">
        <f t="shared" si="17"/>
        <v>#REF!</v>
      </c>
      <c r="CL15" s="123" t="e">
        <f>SUM(AL15,#REF!,BH15,BP15,CD15)</f>
        <v>#REF!</v>
      </c>
      <c r="CM15" s="123" t="e">
        <f>SUM(AM15,#REF!,#REF!,BQ15,#REF!)</f>
        <v>#REF!</v>
      </c>
      <c r="CN15" s="123" t="e">
        <f>SUM(AN15,#REF!,#REF!,BR15,#REF!)</f>
        <v>#REF!</v>
      </c>
      <c r="CO15" s="123" t="e">
        <f>SUM(AO15,#REF!,#REF!,BS15,#REF!)</f>
        <v>#REF!</v>
      </c>
      <c r="CP15" s="123" t="e">
        <f>SUM(AP15,#REF!,#REF!,BT15,#REF!)</f>
        <v>#REF!</v>
      </c>
      <c r="CQ15" s="123" t="e">
        <f>SUM(AQ15,#REF!,#REF!,BU15,#REF!)</f>
        <v>#REF!</v>
      </c>
      <c r="CR15" s="123" t="e">
        <f>SUM(AR15,AZ15,#REF!,BV15,#REF!)</f>
        <v>#REF!</v>
      </c>
      <c r="CS15" s="123">
        <f t="shared" si="18"/>
        <v>18648.16</v>
      </c>
      <c r="CT15" s="121" t="e">
        <f t="shared" si="38"/>
        <v>#REF!</v>
      </c>
    </row>
    <row r="16" spans="1:98" ht="15.75" thickBot="1" x14ac:dyDescent="0.3">
      <c r="A16" s="105">
        <f>+IF(B16="","",SUBTOTAL(3,B$8:B16))</f>
        <v>9</v>
      </c>
      <c r="B16" s="106" t="str">
        <f>'Detailed Report'!O12</f>
        <v>Fuddruckers - Concord Plaza Mall</v>
      </c>
      <c r="C16" s="107">
        <f>TRUNC('Detailed Report'!Q12,0)</f>
        <v>46023</v>
      </c>
      <c r="D16" s="108">
        <f>'Detailed Report'!P12</f>
        <v>3375569322</v>
      </c>
      <c r="E16" s="106" t="str">
        <f>'Detailed Report'!S12</f>
        <v>Successful</v>
      </c>
      <c r="F16" s="109">
        <f>IF(E16=$E$6,('Detailed Report'!Y12),IF(E16=$E$5,(0),0))</f>
        <v>339.98</v>
      </c>
      <c r="G16" s="106">
        <f>IF(E16=$E$6,('Detailed Report'!AQ12),IF(E16=$E$5,('Detailed Report'!AW12),0))</f>
        <v>298.22807</v>
      </c>
      <c r="H16" s="106">
        <f>'Detailed Report'!AS12</f>
        <v>74.557019999999994</v>
      </c>
      <c r="I16" s="106">
        <f>'Detailed Report'!AT12</f>
        <v>10.4379828</v>
      </c>
      <c r="J16" s="106">
        <f>'Detailed Report'!AO12</f>
        <v>5.9496500000000001</v>
      </c>
      <c r="K16" s="106">
        <f>'Detailed Report'!AP12</f>
        <v>0.832951</v>
      </c>
      <c r="L16" s="106">
        <f>'Detailed Report'!AU12/1.14</f>
        <v>27.184210526315791</v>
      </c>
      <c r="M16" s="106">
        <f>'Detailed Report'!AU12-L16</f>
        <v>3.8057894736842073</v>
      </c>
      <c r="N16" s="110">
        <f>'Detailed Report'!AW12</f>
        <v>217.21199999999999</v>
      </c>
      <c r="O16" s="111">
        <f t="shared" si="19"/>
        <v>81.016070000000013</v>
      </c>
      <c r="P16" s="110">
        <f>'Detailed Report'!AM12</f>
        <v>0</v>
      </c>
      <c r="Q16" s="110">
        <f>'Detailed Report'!AN12</f>
        <v>0</v>
      </c>
      <c r="R16" s="110">
        <f>'Detailed Report'!AU12/1.14</f>
        <v>27.184210526315791</v>
      </c>
      <c r="S16" s="110">
        <f>'Detailed Report'!AU12-'........... - Otlob'!R16</f>
        <v>3.8057894736842073</v>
      </c>
      <c r="X16" s="48">
        <f ca="1">X14+X15</f>
        <v>187288.43003833006</v>
      </c>
      <c r="AF16" s="127">
        <f t="shared" si="39"/>
        <v>46031</v>
      </c>
      <c r="AG16" s="116"/>
      <c r="AH16" s="117">
        <f t="shared" si="20"/>
        <v>0</v>
      </c>
      <c r="AI16" s="90">
        <f t="shared" si="21"/>
        <v>0</v>
      </c>
      <c r="AJ16" s="90" t="e">
        <f>SUMIFS(#REF!,$C$8:$C$748,AF16,$B$8:$B$748,$T$8)</f>
        <v>#REF!</v>
      </c>
      <c r="AK16" s="90" t="e">
        <f>SUMIFS(#REF!,$C$8:$C$748,AF16,$B$8:$B$748,$T$8)</f>
        <v>#REF!</v>
      </c>
      <c r="AL16" s="90" t="e">
        <f>SUMIFS(#REF!,$C$8:$C$748,AF16,$B$8:$B$748,$T$8)</f>
        <v>#REF!</v>
      </c>
      <c r="AM16" s="90" t="e">
        <f>SUMIFS(#REF!,$C$8:$C$748,AF16,$B$8:$B$748,$T$8)</f>
        <v>#REF!</v>
      </c>
      <c r="AN16" s="128" t="e">
        <f>SUMIFS(#REF!,$C$8:$C$748,AF16,$B$8:$B$748,$T$8)</f>
        <v>#REF!</v>
      </c>
      <c r="AO16" s="90" t="e">
        <f>SUMIFS(#REF!,$C$8:$C$748,AF16,$B$8:$B$748,$T$8)</f>
        <v>#REF!</v>
      </c>
      <c r="AP16" s="90" t="e">
        <f>SUMIFS(#REF!,$C$8:$C$748,AF16,$B$8:$B$748,$T$8)</f>
        <v>#REF!</v>
      </c>
      <c r="AQ16" s="90" t="e">
        <f>SUMIFS(#REF!,$C$8:$C$748,AF16,$B$8:$B$748,$T$8)</f>
        <v>#REF!</v>
      </c>
      <c r="AR16" s="90" t="e">
        <f t="shared" si="22"/>
        <v>#REF!</v>
      </c>
      <c r="AS16" s="90"/>
      <c r="AT16" s="119" t="e">
        <f t="shared" si="2"/>
        <v>#REF!</v>
      </c>
      <c r="AV16" s="197">
        <f t="shared" si="23"/>
        <v>10</v>
      </c>
      <c r="AW16" s="123">
        <f t="shared" si="24"/>
        <v>5742.850870000002</v>
      </c>
      <c r="AX16" s="123">
        <f t="shared" si="25"/>
        <v>1435.7127399999999</v>
      </c>
      <c r="AY16" s="123">
        <f t="shared" si="26"/>
        <v>200.9997836</v>
      </c>
      <c r="AZ16" s="123">
        <f t="shared" si="27"/>
        <v>6546.85</v>
      </c>
      <c r="BA16" s="162">
        <v>6581.31</v>
      </c>
      <c r="BB16" s="163">
        <f t="shared" si="28"/>
        <v>-34.460000000000036</v>
      </c>
      <c r="BD16" s="122">
        <f t="shared" si="29"/>
        <v>2</v>
      </c>
      <c r="BE16" s="123">
        <f t="shared" si="30"/>
        <v>858.59649000000002</v>
      </c>
      <c r="BF16" s="123">
        <f t="shared" si="31"/>
        <v>214.64912000000001</v>
      </c>
      <c r="BG16" s="123">
        <f t="shared" si="32"/>
        <v>30.050876800000001</v>
      </c>
      <c r="BH16" s="123">
        <f t="shared" si="33"/>
        <v>978.8</v>
      </c>
      <c r="BI16" s="162">
        <v>956.46</v>
      </c>
      <c r="BJ16" s="163">
        <f t="shared" si="7"/>
        <v>22.339999999999918</v>
      </c>
      <c r="BL16" s="124">
        <f t="shared" si="8"/>
        <v>0</v>
      </c>
      <c r="BM16" s="102">
        <f t="shared" si="9"/>
        <v>0</v>
      </c>
      <c r="BN16" s="102" t="e">
        <f>SUMIFS(#REF!,$C$8:$C$748,AF16,$B$8:$B$748,$T$11)</f>
        <v>#REF!</v>
      </c>
      <c r="BO16" s="102" t="e">
        <f>SUMIFS(#REF!,$C$8:$C$748,AF16,$B$8:$B$748,$T$11)</f>
        <v>#REF!</v>
      </c>
      <c r="BP16" s="102" t="e">
        <f>SUMIFS(#REF!,$C$8:$C$748,AF16,$B$8:$B$748,$T$11)</f>
        <v>#REF!</v>
      </c>
      <c r="BQ16" s="102" t="e">
        <f>SUMIFS(#REF!,$C$8:$C$748,AF16,$B$8:$B$748,$T$11)</f>
        <v>#REF!</v>
      </c>
      <c r="BR16" s="125" t="e">
        <f>SUMIFS(#REF!,$C$8:$C$748,AF16,$B$8:$B$748,$T$11)</f>
        <v>#REF!</v>
      </c>
      <c r="BS16" s="102" t="e">
        <f>SUMIFS(#REF!,$C$8:$C$748,AF16,$B$8:$B$748,$T$11)</f>
        <v>#REF!</v>
      </c>
      <c r="BT16" s="102" t="e">
        <f>SUMIFS(#REF!,$C$8:$C$748,AF16,$B$8:$B$748,$T$11)</f>
        <v>#REF!</v>
      </c>
      <c r="BU16" s="102" t="e">
        <f>SUMIFS(#REF!,$C$8:$C$748,AF16,$B$8:$B$748,$T$11)</f>
        <v>#REF!</v>
      </c>
      <c r="BV16" s="102" t="e">
        <f t="shared" si="34"/>
        <v>#REF!</v>
      </c>
      <c r="BW16" s="102">
        <v>0</v>
      </c>
      <c r="BX16" s="126" t="e">
        <f t="shared" si="10"/>
        <v>#REF!</v>
      </c>
      <c r="BZ16" s="122">
        <f t="shared" si="11"/>
        <v>8</v>
      </c>
      <c r="CA16" s="123">
        <f t="shared" si="12"/>
        <v>5883.4736800000001</v>
      </c>
      <c r="CB16" s="123">
        <f t="shared" si="35"/>
        <v>1470.86841</v>
      </c>
      <c r="CC16" s="123">
        <f t="shared" si="36"/>
        <v>205.92157740000002</v>
      </c>
      <c r="CD16" s="123">
        <f t="shared" si="37"/>
        <v>6670.1699999999992</v>
      </c>
      <c r="CE16" s="162">
        <v>6692.91</v>
      </c>
      <c r="CF16" s="163">
        <f t="shared" si="13"/>
        <v>-22.740000000000691</v>
      </c>
      <c r="CH16" s="129">
        <f t="shared" si="14"/>
        <v>20</v>
      </c>
      <c r="CI16" s="123">
        <f t="shared" si="15"/>
        <v>12484.921040000001</v>
      </c>
      <c r="CJ16" s="123" t="e">
        <f t="shared" si="16"/>
        <v>#REF!</v>
      </c>
      <c r="CK16" s="123" t="e">
        <f t="shared" si="17"/>
        <v>#REF!</v>
      </c>
      <c r="CL16" s="123" t="e">
        <f>SUM(AL16,#REF!,BH16,BP16,CD16)</f>
        <v>#REF!</v>
      </c>
      <c r="CM16" s="123" t="e">
        <f>SUM(AM16,#REF!,#REF!,BQ16,#REF!)</f>
        <v>#REF!</v>
      </c>
      <c r="CN16" s="123" t="e">
        <f>SUM(AN16,#REF!,#REF!,BR16,#REF!)</f>
        <v>#REF!</v>
      </c>
      <c r="CO16" s="123" t="e">
        <f>SUM(AO16,#REF!,#REF!,BS16,#REF!)</f>
        <v>#REF!</v>
      </c>
      <c r="CP16" s="123" t="e">
        <f>SUM(AP16,#REF!,#REF!,BT16,#REF!)</f>
        <v>#REF!</v>
      </c>
      <c r="CQ16" s="123" t="e">
        <f>SUM(AQ16,#REF!,#REF!,BU16,#REF!)</f>
        <v>#REF!</v>
      </c>
      <c r="CR16" s="123" t="e">
        <f>SUM(AR16,AZ16,#REF!,BV16,#REF!)</f>
        <v>#REF!</v>
      </c>
      <c r="CS16" s="123">
        <f t="shared" si="18"/>
        <v>14230.68</v>
      </c>
      <c r="CT16" s="121" t="e">
        <f t="shared" si="38"/>
        <v>#REF!</v>
      </c>
    </row>
    <row r="17" spans="1:98" ht="15.75" thickBot="1" x14ac:dyDescent="0.3">
      <c r="A17" s="105">
        <f>+IF(B17="","",SUBTOTAL(3,B$8:B17))</f>
        <v>10</v>
      </c>
      <c r="B17" s="106" t="str">
        <f>'Detailed Report'!O13</f>
        <v>Fuddruckers - Concord Plaza Mall</v>
      </c>
      <c r="C17" s="107">
        <f>TRUNC('Detailed Report'!Q13,0)</f>
        <v>46023</v>
      </c>
      <c r="D17" s="108">
        <f>'Detailed Report'!P13</f>
        <v>3375604271</v>
      </c>
      <c r="E17" s="106" t="str">
        <f>'Detailed Report'!S13</f>
        <v>Successful</v>
      </c>
      <c r="F17" s="109">
        <f>IF(E17=$E$6,('Detailed Report'!Y13),IF(E17=$E$5,(0),0))</f>
        <v>1474.91</v>
      </c>
      <c r="G17" s="106">
        <f>IF(E17=$E$6,('Detailed Report'!AQ13),IF(E17=$E$5,('Detailed Report'!AW13),0))</f>
        <v>1293.7807</v>
      </c>
      <c r="H17" s="106">
        <f>'Detailed Report'!AS13</f>
        <v>323.44517999999999</v>
      </c>
      <c r="I17" s="106">
        <f>'Detailed Report'!AT13</f>
        <v>45.282325200000002</v>
      </c>
      <c r="J17" s="106">
        <f>'Detailed Report'!AO13</f>
        <v>0</v>
      </c>
      <c r="K17" s="106">
        <f>'Detailed Report'!AP13</f>
        <v>0</v>
      </c>
      <c r="L17" s="106">
        <f>'Detailed Report'!AU13/1.14</f>
        <v>0</v>
      </c>
      <c r="M17" s="106">
        <f>'Detailed Report'!AU13-L17</f>
        <v>0</v>
      </c>
      <c r="N17" s="110">
        <f>'Detailed Report'!AW13</f>
        <v>1071.982</v>
      </c>
      <c r="O17" s="111">
        <f t="shared" si="19"/>
        <v>221.79870000000005</v>
      </c>
      <c r="P17" s="110">
        <f>'Detailed Report'!AM13</f>
        <v>30</v>
      </c>
      <c r="Q17" s="110">
        <f>'Detailed Report'!AN13</f>
        <v>4.2</v>
      </c>
      <c r="R17" s="110">
        <f>'Detailed Report'!AU13/1.14</f>
        <v>0</v>
      </c>
      <c r="S17" s="110">
        <f>'Detailed Report'!AU13-'........... - Otlob'!R17</f>
        <v>0</v>
      </c>
      <c r="AF17" s="127">
        <f t="shared" si="39"/>
        <v>46032</v>
      </c>
      <c r="AG17" s="116"/>
      <c r="AH17" s="117">
        <f t="shared" si="20"/>
        <v>0</v>
      </c>
      <c r="AI17" s="90">
        <f t="shared" si="21"/>
        <v>0</v>
      </c>
      <c r="AJ17" s="90" t="e">
        <f>SUMIFS(#REF!,$C$8:$C$748,AF17,$B$8:$B$748,$T$8)</f>
        <v>#REF!</v>
      </c>
      <c r="AK17" s="90" t="e">
        <f>SUMIFS(#REF!,$C$8:$C$748,AF17,$B$8:$B$748,$T$8)</f>
        <v>#REF!</v>
      </c>
      <c r="AL17" s="90" t="e">
        <f>SUMIFS(#REF!,$C$8:$C$748,AF17,$B$8:$B$748,$T$8)</f>
        <v>#REF!</v>
      </c>
      <c r="AM17" s="90" t="e">
        <f>SUMIFS(#REF!,$C$8:$C$748,AF17,$B$8:$B$748,$T$8)</f>
        <v>#REF!</v>
      </c>
      <c r="AN17" s="128" t="e">
        <f>SUMIFS(#REF!,$C$8:$C$748,AF17,$B$8:$B$748,$T$8)</f>
        <v>#REF!</v>
      </c>
      <c r="AO17" s="90" t="e">
        <f>SUMIFS(#REF!,$C$8:$C$748,AF17,$B$8:$B$748,$T$8)</f>
        <v>#REF!</v>
      </c>
      <c r="AP17" s="90" t="e">
        <f>SUMIFS(#REF!,$C$8:$C$748,AF17,$B$8:$B$748,$T$8)</f>
        <v>#REF!</v>
      </c>
      <c r="AQ17" s="90" t="e">
        <f>SUMIFS(#REF!,$C$8:$C$748,AF17,$B$8:$B$748,$T$8)</f>
        <v>#REF!</v>
      </c>
      <c r="AR17" s="90" t="e">
        <f t="shared" si="22"/>
        <v>#REF!</v>
      </c>
      <c r="AS17" s="90"/>
      <c r="AT17" s="119" t="e">
        <f t="shared" si="2"/>
        <v>#REF!</v>
      </c>
      <c r="AV17" s="197">
        <f t="shared" si="23"/>
        <v>15</v>
      </c>
      <c r="AW17" s="123">
        <f t="shared" si="24"/>
        <v>8202.0613899999989</v>
      </c>
      <c r="AX17" s="123">
        <f t="shared" si="25"/>
        <v>2050.5153600000003</v>
      </c>
      <c r="AY17" s="123">
        <f t="shared" si="26"/>
        <v>287.07215040000006</v>
      </c>
      <c r="AZ17" s="123">
        <f t="shared" si="27"/>
        <v>9350.35</v>
      </c>
      <c r="BA17" s="162">
        <v>9265.92</v>
      </c>
      <c r="BB17" s="163">
        <f t="shared" si="28"/>
        <v>84.430000000000291</v>
      </c>
      <c r="BD17" s="122">
        <f t="shared" si="29"/>
        <v>6</v>
      </c>
      <c r="BE17" s="123">
        <f t="shared" si="30"/>
        <v>5473.0350799999997</v>
      </c>
      <c r="BF17" s="123">
        <f t="shared" si="31"/>
        <v>1368.2587700000001</v>
      </c>
      <c r="BG17" s="123">
        <f t="shared" si="32"/>
        <v>191.55622779999999</v>
      </c>
      <c r="BH17" s="123">
        <f t="shared" si="33"/>
        <v>6239.26</v>
      </c>
      <c r="BI17" s="162">
        <v>6222.07</v>
      </c>
      <c r="BJ17" s="163">
        <f t="shared" si="7"/>
        <v>17.190000000000509</v>
      </c>
      <c r="BL17" s="124">
        <f t="shared" si="8"/>
        <v>0</v>
      </c>
      <c r="BM17" s="102">
        <f t="shared" si="9"/>
        <v>0</v>
      </c>
      <c r="BN17" s="102" t="e">
        <f>SUMIFS(#REF!,$C$8:$C$748,AF17,$B$8:$B$748,$T$11)</f>
        <v>#REF!</v>
      </c>
      <c r="BO17" s="102" t="e">
        <f>SUMIFS(#REF!,$C$8:$C$748,AF17,$B$8:$B$748,$T$11)</f>
        <v>#REF!</v>
      </c>
      <c r="BP17" s="102" t="e">
        <f>SUMIFS(#REF!,$C$8:$C$748,AF17,$B$8:$B$748,$T$11)</f>
        <v>#REF!</v>
      </c>
      <c r="BQ17" s="102" t="e">
        <f>SUMIFS(#REF!,$C$8:$C$748,AF17,$B$8:$B$748,$T$11)</f>
        <v>#REF!</v>
      </c>
      <c r="BR17" s="125" t="e">
        <f>SUMIFS(#REF!,$C$8:$C$748,AF17,$B$8:$B$748,$T$11)</f>
        <v>#REF!</v>
      </c>
      <c r="BS17" s="102" t="e">
        <f>SUMIFS(#REF!,$C$8:$C$748,AF17,$B$8:$B$748,$T$11)</f>
        <v>#REF!</v>
      </c>
      <c r="BT17" s="102" t="e">
        <f>SUMIFS(#REF!,$C$8:$C$748,AF17,$B$8:$B$748,$T$11)</f>
        <v>#REF!</v>
      </c>
      <c r="BU17" s="102" t="e">
        <f>SUMIFS(#REF!,$C$8:$C$748,AF17,$B$8:$B$748,$T$11)</f>
        <v>#REF!</v>
      </c>
      <c r="BV17" s="102" t="e">
        <f t="shared" si="34"/>
        <v>#REF!</v>
      </c>
      <c r="BW17" s="102">
        <v>0</v>
      </c>
      <c r="BX17" s="126" t="e">
        <f t="shared" si="10"/>
        <v>#REF!</v>
      </c>
      <c r="BZ17" s="122">
        <f t="shared" si="11"/>
        <v>17</v>
      </c>
      <c r="CA17" s="123">
        <f t="shared" si="12"/>
        <v>9879.0964899999999</v>
      </c>
      <c r="CB17" s="123">
        <f t="shared" si="35"/>
        <v>2469.7741700000001</v>
      </c>
      <c r="CC17" s="123">
        <f t="shared" si="36"/>
        <v>345.76838380000004</v>
      </c>
      <c r="CD17" s="123">
        <f t="shared" si="37"/>
        <v>11262.169999999998</v>
      </c>
      <c r="CE17" s="162">
        <v>11099.04</v>
      </c>
      <c r="CF17" s="163">
        <f t="shared" si="13"/>
        <v>163.12999999999738</v>
      </c>
      <c r="CH17" s="129">
        <f t="shared" si="14"/>
        <v>38</v>
      </c>
      <c r="CI17" s="123">
        <f t="shared" si="15"/>
        <v>23554.19296</v>
      </c>
      <c r="CJ17" s="123" t="e">
        <f t="shared" si="16"/>
        <v>#REF!</v>
      </c>
      <c r="CK17" s="123" t="e">
        <f t="shared" si="17"/>
        <v>#REF!</v>
      </c>
      <c r="CL17" s="123" t="e">
        <f>SUM(AL17,#REF!,BH17,BP17,CD17)</f>
        <v>#REF!</v>
      </c>
      <c r="CM17" s="123" t="e">
        <f>SUM(AM17,#REF!,#REF!,BQ17,#REF!)</f>
        <v>#REF!</v>
      </c>
      <c r="CN17" s="123" t="e">
        <f>SUM(AN17,#REF!,#REF!,BR17,#REF!)</f>
        <v>#REF!</v>
      </c>
      <c r="CO17" s="123" t="e">
        <f>SUM(AO17,#REF!,#REF!,BS17,#REF!)</f>
        <v>#REF!</v>
      </c>
      <c r="CP17" s="123" t="e">
        <f>SUM(AP17,#REF!,#REF!,BT17,#REF!)</f>
        <v>#REF!</v>
      </c>
      <c r="CQ17" s="123" t="e">
        <f>SUM(AQ17,#REF!,#REF!,BU17,#REF!)</f>
        <v>#REF!</v>
      </c>
      <c r="CR17" s="123" t="e">
        <f>SUM(AR17,AZ17,#REF!,BV17,#REF!)</f>
        <v>#REF!</v>
      </c>
      <c r="CS17" s="123">
        <f t="shared" si="18"/>
        <v>26587.03</v>
      </c>
      <c r="CT17" s="121" t="e">
        <f t="shared" si="38"/>
        <v>#REF!</v>
      </c>
    </row>
    <row r="18" spans="1:98" ht="15.75" thickBot="1" x14ac:dyDescent="0.3">
      <c r="A18" s="105">
        <f>+IF(B18="","",SUBTOTAL(3,B$8:B18))</f>
        <v>11</v>
      </c>
      <c r="B18" s="106" t="str">
        <f>'Detailed Report'!O14</f>
        <v>Fuddruckers - Concord Plaza Mall</v>
      </c>
      <c r="C18" s="107">
        <f>TRUNC('Detailed Report'!Q14,0)</f>
        <v>46023</v>
      </c>
      <c r="D18" s="108">
        <f>'Detailed Report'!P14</f>
        <v>3375641892</v>
      </c>
      <c r="E18" s="106" t="str">
        <f>'Detailed Report'!S14</f>
        <v>Successful</v>
      </c>
      <c r="F18" s="109">
        <f>IF(E18=$E$6,('Detailed Report'!Y14),IF(E18=$E$5,(0),0))</f>
        <v>797.99</v>
      </c>
      <c r="G18" s="106">
        <f>IF(E18=$E$6,('Detailed Report'!AQ14),IF(E18=$E$5,('Detailed Report'!AW14),0))</f>
        <v>699.99122999999997</v>
      </c>
      <c r="H18" s="106">
        <f>'Detailed Report'!AS14</f>
        <v>174.99780999999999</v>
      </c>
      <c r="I18" s="106">
        <f>'Detailed Report'!AT14</f>
        <v>24.499693400000002</v>
      </c>
      <c r="J18" s="106">
        <f>'Detailed Report'!AO14</f>
        <v>13.964824999999999</v>
      </c>
      <c r="K18" s="106">
        <f>'Detailed Report'!AP14</f>
        <v>1.9550755</v>
      </c>
      <c r="L18" s="106">
        <f>'Detailed Report'!AU14/1.14</f>
        <v>0</v>
      </c>
      <c r="M18" s="106">
        <f>'Detailed Report'!AU14-L18</f>
        <v>0</v>
      </c>
      <c r="N18" s="110">
        <f>'Detailed Report'!AW14</f>
        <v>582.57299999999998</v>
      </c>
      <c r="O18" s="111">
        <f t="shared" si="19"/>
        <v>117.41822999999999</v>
      </c>
      <c r="P18" s="110">
        <f>'Detailed Report'!AM14</f>
        <v>0</v>
      </c>
      <c r="Q18" s="110">
        <f>'Detailed Report'!AN14</f>
        <v>0</v>
      </c>
      <c r="R18" s="110">
        <f>'Detailed Report'!AU14/1.14</f>
        <v>0</v>
      </c>
      <c r="S18" s="110">
        <f>'Detailed Report'!AU14-'........... - Otlob'!R18</f>
        <v>0</v>
      </c>
      <c r="AF18" s="127">
        <f t="shared" si="39"/>
        <v>46033</v>
      </c>
      <c r="AG18" s="116"/>
      <c r="AH18" s="117">
        <f t="shared" si="20"/>
        <v>0</v>
      </c>
      <c r="AI18" s="90">
        <f t="shared" si="21"/>
        <v>0</v>
      </c>
      <c r="AJ18" s="90" t="e">
        <f>SUMIFS(#REF!,$C$8:$C$748,AF18,$B$8:$B$748,$T$8)</f>
        <v>#REF!</v>
      </c>
      <c r="AK18" s="90" t="e">
        <f>SUMIFS(#REF!,$C$8:$C$748,AF18,$B$8:$B$748,$T$8)</f>
        <v>#REF!</v>
      </c>
      <c r="AL18" s="90" t="e">
        <f>SUMIFS(#REF!,$C$8:$C$748,AF18,$B$8:$B$748,$T$8)</f>
        <v>#REF!</v>
      </c>
      <c r="AM18" s="90" t="e">
        <f>SUMIFS(#REF!,$C$8:$C$748,AF18,$B$8:$B$748,$T$8)</f>
        <v>#REF!</v>
      </c>
      <c r="AN18" s="128" t="e">
        <f>SUMIFS(#REF!,$C$8:$C$748,AF18,$B$8:$B$748,$T$8)</f>
        <v>#REF!</v>
      </c>
      <c r="AO18" s="90" t="e">
        <f>SUMIFS(#REF!,$C$8:$C$748,AF18,$B$8:$B$748,$T$8)</f>
        <v>#REF!</v>
      </c>
      <c r="AP18" s="90" t="e">
        <f>SUMIFS(#REF!,$C$8:$C$748,AF18,$B$8:$B$748,$T$8)</f>
        <v>#REF!</v>
      </c>
      <c r="AQ18" s="90" t="e">
        <f>SUMIFS(#REF!,$C$8:$C$748,AF18,$B$8:$B$748,$T$8)</f>
        <v>#REF!</v>
      </c>
      <c r="AR18" s="90" t="e">
        <f t="shared" si="22"/>
        <v>#REF!</v>
      </c>
      <c r="AS18" s="90"/>
      <c r="AT18" s="119" t="e">
        <f t="shared" si="2"/>
        <v>#REF!</v>
      </c>
      <c r="AV18" s="197">
        <f t="shared" si="23"/>
        <v>11</v>
      </c>
      <c r="AW18" s="123">
        <f t="shared" si="24"/>
        <v>4618.7631499999998</v>
      </c>
      <c r="AX18" s="123">
        <f t="shared" si="25"/>
        <v>1154.6908100000001</v>
      </c>
      <c r="AY18" s="123">
        <f t="shared" si="26"/>
        <v>161.6567134</v>
      </c>
      <c r="AZ18" s="123">
        <f t="shared" si="27"/>
        <v>5265.3899999999994</v>
      </c>
      <c r="BA18" s="162">
        <v>5147.1499999999996</v>
      </c>
      <c r="BB18" s="163">
        <f t="shared" si="28"/>
        <v>118.23999999999978</v>
      </c>
      <c r="BD18" s="122">
        <f t="shared" si="29"/>
        <v>4</v>
      </c>
      <c r="BE18" s="123">
        <f t="shared" si="30"/>
        <v>1603.4736800000001</v>
      </c>
      <c r="BF18" s="123">
        <f t="shared" si="31"/>
        <v>400.86842000000001</v>
      </c>
      <c r="BG18" s="123">
        <f t="shared" si="32"/>
        <v>56.121578800000009</v>
      </c>
      <c r="BH18" s="123">
        <f t="shared" si="33"/>
        <v>1827.96</v>
      </c>
      <c r="BI18" s="162">
        <v>1801.2</v>
      </c>
      <c r="BJ18" s="163">
        <f t="shared" si="7"/>
        <v>26.759999999999991</v>
      </c>
      <c r="BL18" s="124">
        <f t="shared" si="8"/>
        <v>0</v>
      </c>
      <c r="BM18" s="102">
        <f t="shared" si="9"/>
        <v>0</v>
      </c>
      <c r="BN18" s="102" t="e">
        <f>SUMIFS(#REF!,$C$8:$C$748,AF18,$B$8:$B$748,$T$11)</f>
        <v>#REF!</v>
      </c>
      <c r="BO18" s="102" t="e">
        <f>SUMIFS(#REF!,$C$8:$C$748,AF18,$B$8:$B$748,$T$11)</f>
        <v>#REF!</v>
      </c>
      <c r="BP18" s="102" t="e">
        <f>SUMIFS(#REF!,$C$8:$C$748,AF18,$B$8:$B$748,$T$11)</f>
        <v>#REF!</v>
      </c>
      <c r="BQ18" s="102" t="e">
        <f>SUMIFS(#REF!,$C$8:$C$748,AF18,$B$8:$B$748,$T$11)</f>
        <v>#REF!</v>
      </c>
      <c r="BR18" s="125" t="e">
        <f>SUMIFS(#REF!,$C$8:$C$748,AF18,$B$8:$B$748,$T$11)</f>
        <v>#REF!</v>
      </c>
      <c r="BS18" s="102" t="e">
        <f>SUMIFS(#REF!,$C$8:$C$748,AF18,$B$8:$B$748,$T$11)</f>
        <v>#REF!</v>
      </c>
      <c r="BT18" s="102" t="e">
        <f>SUMIFS(#REF!,$C$8:$C$748,AF18,$B$8:$B$748,$T$11)</f>
        <v>#REF!</v>
      </c>
      <c r="BU18" s="102" t="e">
        <f>SUMIFS(#REF!,$C$8:$C$748,AF18,$B$8:$B$748,$T$11)</f>
        <v>#REF!</v>
      </c>
      <c r="BV18" s="102" t="e">
        <f t="shared" si="34"/>
        <v>#REF!</v>
      </c>
      <c r="BW18" s="102">
        <v>0</v>
      </c>
      <c r="BX18" s="126" t="e">
        <f t="shared" si="10"/>
        <v>#REF!</v>
      </c>
      <c r="BZ18" s="122">
        <f t="shared" si="11"/>
        <v>10</v>
      </c>
      <c r="CA18" s="123">
        <f t="shared" si="12"/>
        <v>8183.8333300000004</v>
      </c>
      <c r="CB18" s="123">
        <f t="shared" si="35"/>
        <v>2045.9583299999997</v>
      </c>
      <c r="CC18" s="123">
        <f t="shared" si="36"/>
        <v>286.43416619999999</v>
      </c>
      <c r="CD18" s="123">
        <f t="shared" si="37"/>
        <v>9329.57</v>
      </c>
      <c r="CE18" s="162">
        <v>9249.8799999999992</v>
      </c>
      <c r="CF18" s="163">
        <f t="shared" si="13"/>
        <v>79.690000000000509</v>
      </c>
      <c r="CH18" s="129">
        <f t="shared" si="14"/>
        <v>25</v>
      </c>
      <c r="CI18" s="123">
        <f t="shared" si="15"/>
        <v>14406.070159999999</v>
      </c>
      <c r="CJ18" s="123" t="e">
        <f t="shared" si="16"/>
        <v>#REF!</v>
      </c>
      <c r="CK18" s="123" t="e">
        <f t="shared" si="17"/>
        <v>#REF!</v>
      </c>
      <c r="CL18" s="123" t="e">
        <f>SUM(AL18,#REF!,BH18,BP18,CD18)</f>
        <v>#REF!</v>
      </c>
      <c r="CM18" s="123" t="e">
        <f>SUM(AM18,#REF!,#REF!,BQ18,#REF!)</f>
        <v>#REF!</v>
      </c>
      <c r="CN18" s="123" t="e">
        <f>SUM(AN18,#REF!,#REF!,BR18,#REF!)</f>
        <v>#REF!</v>
      </c>
      <c r="CO18" s="123" t="e">
        <f>SUM(AO18,#REF!,#REF!,BS18,#REF!)</f>
        <v>#REF!</v>
      </c>
      <c r="CP18" s="123" t="e">
        <f>SUM(AP18,#REF!,#REF!,BT18,#REF!)</f>
        <v>#REF!</v>
      </c>
      <c r="CQ18" s="123" t="e">
        <f>SUM(AQ18,#REF!,#REF!,BU18,#REF!)</f>
        <v>#REF!</v>
      </c>
      <c r="CR18" s="123" t="e">
        <f>SUM(AR18,AZ18,#REF!,BV18,#REF!)</f>
        <v>#REF!</v>
      </c>
      <c r="CS18" s="123">
        <f t="shared" si="18"/>
        <v>16198.23</v>
      </c>
      <c r="CT18" s="121" t="e">
        <f t="shared" si="38"/>
        <v>#REF!</v>
      </c>
    </row>
    <row r="19" spans="1:98" ht="15" customHeight="1" thickBot="1" x14ac:dyDescent="0.3">
      <c r="A19" s="105">
        <f>+IF(B19="","",SUBTOTAL(3,B$8:B19))</f>
        <v>12</v>
      </c>
      <c r="B19" s="106" t="str">
        <f>'Detailed Report'!O15</f>
        <v>Fuddruckers - Concord Plaza Mall</v>
      </c>
      <c r="C19" s="107">
        <f>TRUNC('Detailed Report'!Q15,0)</f>
        <v>46023</v>
      </c>
      <c r="D19" s="108">
        <f>'Detailed Report'!P15</f>
        <v>3375649759</v>
      </c>
      <c r="E19" s="106" t="str">
        <f>'Detailed Report'!S15</f>
        <v>Successful</v>
      </c>
      <c r="F19" s="109">
        <f>IF(E19=$E$6,('Detailed Report'!Y15),IF(E19=$E$5,(0),0))</f>
        <v>244.99</v>
      </c>
      <c r="G19" s="106">
        <f>IF(E19=$E$6,('Detailed Report'!AQ15),IF(E19=$E$5,('Detailed Report'!AW15),0))</f>
        <v>214.90351000000001</v>
      </c>
      <c r="H19" s="106">
        <f>'Detailed Report'!AS15</f>
        <v>53.725879999999997</v>
      </c>
      <c r="I19" s="106">
        <f>'Detailed Report'!AT15</f>
        <v>7.5216231999999996</v>
      </c>
      <c r="J19" s="106">
        <f>'Detailed Report'!AO15</f>
        <v>0</v>
      </c>
      <c r="K19" s="106">
        <f>'Detailed Report'!AP15</f>
        <v>0</v>
      </c>
      <c r="L19" s="106">
        <f>'Detailed Report'!AU15/1.14</f>
        <v>0</v>
      </c>
      <c r="M19" s="106">
        <f>'Detailed Report'!AU15-L19</f>
        <v>0</v>
      </c>
      <c r="N19" s="110">
        <f>'Detailed Report'!AW15</f>
        <v>183.74199999999999</v>
      </c>
      <c r="O19" s="111">
        <f t="shared" si="19"/>
        <v>31.161510000000021</v>
      </c>
      <c r="P19" s="110">
        <f>'Detailed Report'!AM15</f>
        <v>0</v>
      </c>
      <c r="Q19" s="110">
        <f>'Detailed Report'!AN15</f>
        <v>0</v>
      </c>
      <c r="R19" s="110">
        <f>'Detailed Report'!AU15/1.14</f>
        <v>0</v>
      </c>
      <c r="S19" s="110">
        <f>'Detailed Report'!AU15-'........... - Otlob'!R19</f>
        <v>0</v>
      </c>
      <c r="AF19" s="127">
        <f t="shared" si="39"/>
        <v>46034</v>
      </c>
      <c r="AG19" s="116"/>
      <c r="AH19" s="117">
        <f t="shared" si="20"/>
        <v>0</v>
      </c>
      <c r="AI19" s="90">
        <f t="shared" si="21"/>
        <v>0</v>
      </c>
      <c r="AJ19" s="90" t="e">
        <f>SUMIFS(#REF!,$C$8:$C$748,AF19,$B$8:$B$748,$T$8)</f>
        <v>#REF!</v>
      </c>
      <c r="AK19" s="90" t="e">
        <f>SUMIFS(#REF!,$C$8:$C$748,AF19,$B$8:$B$748,$T$8)</f>
        <v>#REF!</v>
      </c>
      <c r="AL19" s="90" t="e">
        <f>SUMIFS(#REF!,$C$8:$C$748,AF19,$B$8:$B$748,$T$8)</f>
        <v>#REF!</v>
      </c>
      <c r="AM19" s="90" t="e">
        <f>SUMIFS(#REF!,$C$8:$C$748,AF19,$B$8:$B$748,$T$8)</f>
        <v>#REF!</v>
      </c>
      <c r="AN19" s="128" t="e">
        <f>SUMIFS(#REF!,$C$8:$C$748,AF19,$B$8:$B$748,$T$8)</f>
        <v>#REF!</v>
      </c>
      <c r="AO19" s="90" t="e">
        <f>SUMIFS(#REF!,$C$8:$C$748,AF19,$B$8:$B$748,$T$8)</f>
        <v>#REF!</v>
      </c>
      <c r="AP19" s="90" t="e">
        <f>SUMIFS(#REF!,$C$8:$C$748,AF19,$B$8:$B$748,$T$8)</f>
        <v>#REF!</v>
      </c>
      <c r="AQ19" s="90" t="e">
        <f>SUMIFS(#REF!,$C$8:$C$748,AF19,$B$8:$B$748,$T$8)</f>
        <v>#REF!</v>
      </c>
      <c r="AR19" s="90" t="e">
        <f t="shared" si="22"/>
        <v>#REF!</v>
      </c>
      <c r="AS19" s="90"/>
      <c r="AT19" s="119" t="e">
        <f t="shared" si="2"/>
        <v>#REF!</v>
      </c>
      <c r="AV19" s="197">
        <f t="shared" si="23"/>
        <v>8</v>
      </c>
      <c r="AW19" s="123">
        <f t="shared" si="24"/>
        <v>5243.1929700000001</v>
      </c>
      <c r="AX19" s="123">
        <f t="shared" si="25"/>
        <v>1310.7982599999998</v>
      </c>
      <c r="AY19" s="123">
        <f t="shared" si="26"/>
        <v>183.5117564</v>
      </c>
      <c r="AZ19" s="123">
        <f t="shared" si="27"/>
        <v>5977.24</v>
      </c>
      <c r="BA19" s="162">
        <v>6478.68</v>
      </c>
      <c r="BB19" s="163">
        <f t="shared" si="28"/>
        <v>-501.44000000000051</v>
      </c>
      <c r="BD19" s="122">
        <f t="shared" si="29"/>
        <v>1</v>
      </c>
      <c r="BE19" s="123">
        <f t="shared" si="30"/>
        <v>693.76315999999997</v>
      </c>
      <c r="BF19" s="123">
        <f t="shared" si="31"/>
        <v>173.44078999999999</v>
      </c>
      <c r="BG19" s="123">
        <f t="shared" si="32"/>
        <v>24.2817106</v>
      </c>
      <c r="BH19" s="123">
        <f t="shared" si="33"/>
        <v>790.89</v>
      </c>
      <c r="BI19" s="162">
        <v>755.82</v>
      </c>
      <c r="BJ19" s="163">
        <f t="shared" si="7"/>
        <v>35.069999999999936</v>
      </c>
      <c r="BL19" s="124">
        <f t="shared" si="8"/>
        <v>0</v>
      </c>
      <c r="BM19" s="102">
        <f t="shared" si="9"/>
        <v>0</v>
      </c>
      <c r="BN19" s="102" t="e">
        <f>SUMIFS(#REF!,$C$8:$C$748,AF19,$B$8:$B$748,$T$11)</f>
        <v>#REF!</v>
      </c>
      <c r="BO19" s="102" t="e">
        <f>SUMIFS(#REF!,$C$8:$C$748,AF19,$B$8:$B$748,$T$11)</f>
        <v>#REF!</v>
      </c>
      <c r="BP19" s="102" t="e">
        <f>SUMIFS(#REF!,$C$8:$C$748,AF19,$B$8:$B$748,$T$11)</f>
        <v>#REF!</v>
      </c>
      <c r="BQ19" s="102" t="e">
        <f>SUMIFS(#REF!,$C$8:$C$748,AF19,$B$8:$B$748,$T$11)</f>
        <v>#REF!</v>
      </c>
      <c r="BR19" s="125" t="e">
        <f>SUMIFS(#REF!,$C$8:$C$748,AF19,$B$8:$B$748,$T$11)</f>
        <v>#REF!</v>
      </c>
      <c r="BS19" s="102" t="e">
        <f>SUMIFS(#REF!,$C$8:$C$748,AF19,$B$8:$B$748,$T$11)</f>
        <v>#REF!</v>
      </c>
      <c r="BT19" s="102" t="e">
        <f>SUMIFS(#REF!,$C$8:$C$748,AF19,$B$8:$B$748,$T$11)</f>
        <v>#REF!</v>
      </c>
      <c r="BU19" s="102" t="e">
        <f>SUMIFS(#REF!,$C$8:$C$748,AF19,$B$8:$B$748,$T$11)</f>
        <v>#REF!</v>
      </c>
      <c r="BV19" s="102" t="e">
        <f t="shared" si="34"/>
        <v>#REF!</v>
      </c>
      <c r="BW19" s="102">
        <v>0</v>
      </c>
      <c r="BX19" s="126" t="e">
        <f t="shared" si="10"/>
        <v>#REF!</v>
      </c>
      <c r="BZ19" s="122">
        <f t="shared" si="11"/>
        <v>7</v>
      </c>
      <c r="CA19" s="123">
        <f t="shared" si="12"/>
        <v>3468.0351000000001</v>
      </c>
      <c r="CB19" s="123">
        <f t="shared" si="35"/>
        <v>867.00878999999998</v>
      </c>
      <c r="CC19" s="123">
        <f t="shared" si="36"/>
        <v>121.38123059999999</v>
      </c>
      <c r="CD19" s="123">
        <f t="shared" si="37"/>
        <v>3953.5600000000004</v>
      </c>
      <c r="CE19" s="162">
        <v>3979.74</v>
      </c>
      <c r="CF19" s="163">
        <f t="shared" si="13"/>
        <v>-26.179999999999382</v>
      </c>
      <c r="CH19" s="129">
        <f t="shared" si="14"/>
        <v>16</v>
      </c>
      <c r="CI19" s="123">
        <f t="shared" si="15"/>
        <v>9404.9912299999996</v>
      </c>
      <c r="CJ19" s="123" t="e">
        <f t="shared" si="16"/>
        <v>#REF!</v>
      </c>
      <c r="CK19" s="123" t="e">
        <f t="shared" si="17"/>
        <v>#REF!</v>
      </c>
      <c r="CL19" s="123" t="e">
        <f>SUM(AL19,#REF!,BH19,BP19,CD19)</f>
        <v>#REF!</v>
      </c>
      <c r="CM19" s="123" t="e">
        <f>SUM(AM19,#REF!,#REF!,BQ19,#REF!)</f>
        <v>#REF!</v>
      </c>
      <c r="CN19" s="123" t="e">
        <f>SUM(AN19,#REF!,#REF!,BR19,#REF!)</f>
        <v>#REF!</v>
      </c>
      <c r="CO19" s="123" t="e">
        <f>SUM(AO19,#REF!,#REF!,BS19,#REF!)</f>
        <v>#REF!</v>
      </c>
      <c r="CP19" s="123" t="e">
        <f>SUM(AP19,#REF!,#REF!,BT19,#REF!)</f>
        <v>#REF!</v>
      </c>
      <c r="CQ19" s="123" t="e">
        <f>SUM(AQ19,#REF!,#REF!,BU19,#REF!)</f>
        <v>#REF!</v>
      </c>
      <c r="CR19" s="123" t="e">
        <f>SUM(AR19,AZ19,#REF!,BV19,#REF!)</f>
        <v>#REF!</v>
      </c>
      <c r="CS19" s="123">
        <f t="shared" si="18"/>
        <v>11214.24</v>
      </c>
      <c r="CT19" s="121" t="e">
        <f t="shared" si="38"/>
        <v>#REF!</v>
      </c>
    </row>
    <row r="20" spans="1:98" ht="15" customHeight="1" thickBot="1" x14ac:dyDescent="0.3">
      <c r="A20" s="105">
        <f>+IF(B20="","",SUBTOTAL(3,B$8:B20))</f>
        <v>13</v>
      </c>
      <c r="B20" s="106" t="str">
        <f>'Detailed Report'!O16</f>
        <v>Fuddruckers - Concord Plaza Mall</v>
      </c>
      <c r="C20" s="107">
        <f>TRUNC('Detailed Report'!Q16,0)</f>
        <v>46023</v>
      </c>
      <c r="D20" s="108">
        <f>'Detailed Report'!P16</f>
        <v>3375714885</v>
      </c>
      <c r="E20" s="106" t="str">
        <f>'Detailed Report'!S16</f>
        <v>Successful</v>
      </c>
      <c r="F20" s="109">
        <f>IF(E20=$E$6,('Detailed Report'!Y16),IF(E20=$E$5,(0),0))</f>
        <v>820.98</v>
      </c>
      <c r="G20" s="106">
        <f>IF(E20=$E$6,('Detailed Report'!AQ16),IF(E20=$E$5,('Detailed Report'!AW16),0))</f>
        <v>720.15788999999995</v>
      </c>
      <c r="H20" s="106">
        <f>'Detailed Report'!AS16</f>
        <v>180.03946999999999</v>
      </c>
      <c r="I20" s="106">
        <f>'Detailed Report'!AT16</f>
        <v>25.2055258</v>
      </c>
      <c r="J20" s="106">
        <f>'Detailed Report'!AO16</f>
        <v>14.367150000000001</v>
      </c>
      <c r="K20" s="106">
        <f>'Detailed Report'!AP16</f>
        <v>2.0114010000000002</v>
      </c>
      <c r="L20" s="106">
        <f>'Detailed Report'!AU16/1.14</f>
        <v>0</v>
      </c>
      <c r="M20" s="106">
        <f>'Detailed Report'!AU16-L20</f>
        <v>0</v>
      </c>
      <c r="N20" s="110">
        <f>'Detailed Report'!AW16</f>
        <v>599.35599999999999</v>
      </c>
      <c r="O20" s="111">
        <f t="shared" si="19"/>
        <v>120.80188999999996</v>
      </c>
      <c r="P20" s="110">
        <f>'Detailed Report'!AM16</f>
        <v>0</v>
      </c>
      <c r="Q20" s="110">
        <f>'Detailed Report'!AN16</f>
        <v>0</v>
      </c>
      <c r="R20" s="110">
        <f>'Detailed Report'!AU16/1.14</f>
        <v>0</v>
      </c>
      <c r="S20" s="110">
        <f>'Detailed Report'!AU16-'........... - Otlob'!R20</f>
        <v>0</v>
      </c>
      <c r="AF20" s="127">
        <f t="shared" si="39"/>
        <v>46035</v>
      </c>
      <c r="AG20" s="116"/>
      <c r="AH20" s="117">
        <f t="shared" si="20"/>
        <v>0</v>
      </c>
      <c r="AI20" s="90">
        <f t="shared" si="21"/>
        <v>0</v>
      </c>
      <c r="AJ20" s="90" t="e">
        <f>SUMIFS(#REF!,$C$8:$C$748,AF20,$B$8:$B$748,$T$8)</f>
        <v>#REF!</v>
      </c>
      <c r="AK20" s="90" t="e">
        <f>SUMIFS(#REF!,$C$8:$C$748,AF20,$B$8:$B$748,$T$8)</f>
        <v>#REF!</v>
      </c>
      <c r="AL20" s="90" t="e">
        <f>SUMIFS(#REF!,$C$8:$C$748,AF20,$B$8:$B$748,$T$8)</f>
        <v>#REF!</v>
      </c>
      <c r="AM20" s="90" t="e">
        <f>SUMIFS(#REF!,$C$8:$C$748,AF20,$B$8:$B$748,$T$8)</f>
        <v>#REF!</v>
      </c>
      <c r="AN20" s="128" t="e">
        <f>SUMIFS(#REF!,$C$8:$C$748,AF20,$B$8:$B$748,$T$8)</f>
        <v>#REF!</v>
      </c>
      <c r="AO20" s="90" t="e">
        <f>SUMIFS(#REF!,$C$8:$C$748,AF20,$B$8:$B$748,$T$8)</f>
        <v>#REF!</v>
      </c>
      <c r="AP20" s="90" t="e">
        <f>SUMIFS(#REF!,$C$8:$C$748,AF20,$B$8:$B$748,$T$8)</f>
        <v>#REF!</v>
      </c>
      <c r="AQ20" s="90" t="e">
        <f>SUMIFS(#REF!,$C$8:$C$748,AF20,$B$8:$B$748,$T$8)</f>
        <v>#REF!</v>
      </c>
      <c r="AR20" s="90" t="e">
        <f t="shared" si="22"/>
        <v>#REF!</v>
      </c>
      <c r="AS20" s="90"/>
      <c r="AT20" s="119" t="e">
        <f t="shared" si="2"/>
        <v>#REF!</v>
      </c>
      <c r="AV20" s="197">
        <f t="shared" si="23"/>
        <v>16</v>
      </c>
      <c r="AW20" s="123">
        <f t="shared" si="24"/>
        <v>8820.5488600000008</v>
      </c>
      <c r="AX20" s="123">
        <f t="shared" si="25"/>
        <v>2369.7017799999999</v>
      </c>
      <c r="AY20" s="123">
        <f t="shared" si="26"/>
        <v>331.75824920000002</v>
      </c>
      <c r="AZ20" s="123">
        <f t="shared" si="27"/>
        <v>10221.859999999999</v>
      </c>
      <c r="BA20" s="162">
        <v>10369.58</v>
      </c>
      <c r="BB20" s="163">
        <f t="shared" si="28"/>
        <v>-147.72000000000116</v>
      </c>
      <c r="BD20" s="122">
        <f t="shared" si="29"/>
        <v>4</v>
      </c>
      <c r="BE20" s="123">
        <f t="shared" si="30"/>
        <v>1074.7719300000001</v>
      </c>
      <c r="BF20" s="123">
        <f t="shared" si="31"/>
        <v>268.69299000000001</v>
      </c>
      <c r="BG20" s="123">
        <f t="shared" si="32"/>
        <v>37.617018600000002</v>
      </c>
      <c r="BH20" s="123">
        <f t="shared" si="33"/>
        <v>1225.24</v>
      </c>
      <c r="BI20" s="162">
        <v>1208.4000000000001</v>
      </c>
      <c r="BJ20" s="163">
        <f t="shared" si="7"/>
        <v>16.839999999999918</v>
      </c>
      <c r="BL20" s="124">
        <f t="shared" si="8"/>
        <v>0</v>
      </c>
      <c r="BM20" s="102">
        <f t="shared" si="9"/>
        <v>0</v>
      </c>
      <c r="BN20" s="102" t="e">
        <f>SUMIFS(#REF!,$C$8:$C$748,AF20,$B$8:$B$748,$T$11)</f>
        <v>#REF!</v>
      </c>
      <c r="BO20" s="102" t="e">
        <f>SUMIFS(#REF!,$C$8:$C$748,AF20,$B$8:$B$748,$T$11)</f>
        <v>#REF!</v>
      </c>
      <c r="BP20" s="102" t="e">
        <f>SUMIFS(#REF!,$C$8:$C$748,AF20,$B$8:$B$748,$T$11)</f>
        <v>#REF!</v>
      </c>
      <c r="BQ20" s="102" t="e">
        <f>SUMIFS(#REF!,$C$8:$C$748,AF20,$B$8:$B$748,$T$11)</f>
        <v>#REF!</v>
      </c>
      <c r="BR20" s="125" t="e">
        <f>SUMIFS(#REF!,$C$8:$C$748,AF20,$B$8:$B$748,$T$11)</f>
        <v>#REF!</v>
      </c>
      <c r="BS20" s="102" t="e">
        <f>SUMIFS(#REF!,$C$8:$C$748,AF20,$B$8:$B$748,$T$11)</f>
        <v>#REF!</v>
      </c>
      <c r="BT20" s="102" t="e">
        <f>SUMIFS(#REF!,$C$8:$C$748,AF20,$B$8:$B$748,$T$11)</f>
        <v>#REF!</v>
      </c>
      <c r="BU20" s="102" t="e">
        <f>SUMIFS(#REF!,$C$8:$C$748,AF20,$B$8:$B$748,$T$11)</f>
        <v>#REF!</v>
      </c>
      <c r="BV20" s="102" t="e">
        <f t="shared" si="34"/>
        <v>#REF!</v>
      </c>
      <c r="BW20" s="102">
        <v>0</v>
      </c>
      <c r="BX20" s="126" t="e">
        <f t="shared" si="10"/>
        <v>#REF!</v>
      </c>
      <c r="BZ20" s="122">
        <f t="shared" si="11"/>
        <v>11</v>
      </c>
      <c r="CA20" s="123">
        <f t="shared" si="12"/>
        <v>7821.7368499999993</v>
      </c>
      <c r="CB20" s="123">
        <f t="shared" si="35"/>
        <v>1955.4342199999999</v>
      </c>
      <c r="CC20" s="123">
        <f t="shared" si="36"/>
        <v>273.76079080000005</v>
      </c>
      <c r="CD20" s="123">
        <f t="shared" si="37"/>
        <v>8916.7800000000025</v>
      </c>
      <c r="CE20" s="162">
        <v>8927.34</v>
      </c>
      <c r="CF20" s="163">
        <f t="shared" si="13"/>
        <v>-10.559999999997672</v>
      </c>
      <c r="CH20" s="129">
        <f t="shared" si="14"/>
        <v>31</v>
      </c>
      <c r="CI20" s="123">
        <f t="shared" si="15"/>
        <v>17717.057639999999</v>
      </c>
      <c r="CJ20" s="123" t="e">
        <f t="shared" si="16"/>
        <v>#REF!</v>
      </c>
      <c r="CK20" s="123" t="e">
        <f t="shared" si="17"/>
        <v>#REF!</v>
      </c>
      <c r="CL20" s="123" t="e">
        <f>SUM(AL20,#REF!,BH20,BP20,CD20)</f>
        <v>#REF!</v>
      </c>
      <c r="CM20" s="123" t="e">
        <f>SUM(AM20,#REF!,#REF!,BQ20,#REF!)</f>
        <v>#REF!</v>
      </c>
      <c r="CN20" s="123" t="e">
        <f>SUM(AN20,#REF!,#REF!,BR20,#REF!)</f>
        <v>#REF!</v>
      </c>
      <c r="CO20" s="123" t="e">
        <f>SUM(AO20,#REF!,#REF!,BS20,#REF!)</f>
        <v>#REF!</v>
      </c>
      <c r="CP20" s="123" t="e">
        <f>SUM(AP20,#REF!,#REF!,BT20,#REF!)</f>
        <v>#REF!</v>
      </c>
      <c r="CQ20" s="123" t="e">
        <f>SUM(AQ20,#REF!,#REF!,BU20,#REF!)</f>
        <v>#REF!</v>
      </c>
      <c r="CR20" s="123" t="e">
        <f>SUM(AR20,AZ20,#REF!,BV20,#REF!)</f>
        <v>#REF!</v>
      </c>
      <c r="CS20" s="123">
        <f t="shared" si="18"/>
        <v>20505.32</v>
      </c>
      <c r="CT20" s="121" t="e">
        <f t="shared" si="38"/>
        <v>#REF!</v>
      </c>
    </row>
    <row r="21" spans="1:98" ht="15" customHeight="1" thickBot="1" x14ac:dyDescent="0.3">
      <c r="A21" s="105">
        <f>+IF(B21="","",SUBTOTAL(3,B$8:B21))</f>
        <v>14</v>
      </c>
      <c r="B21" s="106" t="str">
        <f>'Detailed Report'!O17</f>
        <v>Fuddruckers - Concord Plaza Mall</v>
      </c>
      <c r="C21" s="107">
        <f>TRUNC('Detailed Report'!Q17,0)</f>
        <v>46023</v>
      </c>
      <c r="D21" s="108">
        <f>'Detailed Report'!P17</f>
        <v>3375732742</v>
      </c>
      <c r="E21" s="106" t="str">
        <f>'Detailed Report'!S17</f>
        <v>Successful</v>
      </c>
      <c r="F21" s="109">
        <f>IF(E21=$E$6,('Detailed Report'!Y17),IF(E21=$E$5,(0),0))</f>
        <v>299.97000000000003</v>
      </c>
      <c r="G21" s="106">
        <f>IF(E21=$E$6,('Detailed Report'!AQ17),IF(E21=$E$5,('Detailed Report'!AW17),0))</f>
        <v>263.13157999999999</v>
      </c>
      <c r="H21" s="106">
        <f>'Detailed Report'!AS17</f>
        <v>65.782899999999998</v>
      </c>
      <c r="I21" s="106">
        <f>'Detailed Report'!AT17</f>
        <v>9.2096060000000008</v>
      </c>
      <c r="J21" s="106">
        <f>'Detailed Report'!AO17</f>
        <v>5.2494750000000003</v>
      </c>
      <c r="K21" s="106">
        <f>'Detailed Report'!AP17</f>
        <v>0.73492650000000004</v>
      </c>
      <c r="L21" s="106">
        <f>'Detailed Report'!AU17/1.14</f>
        <v>0</v>
      </c>
      <c r="M21" s="106">
        <f>'Detailed Report'!AU17-L21</f>
        <v>0</v>
      </c>
      <c r="N21" s="110">
        <f>'Detailed Report'!AW17</f>
        <v>218.99299999999999</v>
      </c>
      <c r="O21" s="111">
        <f t="shared" si="19"/>
        <v>44.13857999999999</v>
      </c>
      <c r="P21" s="110">
        <f>'Detailed Report'!AM17</f>
        <v>0</v>
      </c>
      <c r="Q21" s="110">
        <f>'Detailed Report'!AN17</f>
        <v>0</v>
      </c>
      <c r="R21" s="110">
        <f>'Detailed Report'!AU17/1.14</f>
        <v>0</v>
      </c>
      <c r="S21" s="110">
        <f>'Detailed Report'!AU17-'........... - Otlob'!R21</f>
        <v>0</v>
      </c>
      <c r="AF21" s="127">
        <f t="shared" si="39"/>
        <v>46036</v>
      </c>
      <c r="AG21" s="116"/>
      <c r="AH21" s="117">
        <f t="shared" si="20"/>
        <v>0</v>
      </c>
      <c r="AI21" s="90">
        <f t="shared" si="21"/>
        <v>0</v>
      </c>
      <c r="AJ21" s="90" t="e">
        <f>SUMIFS(#REF!,$C$8:$C$748,AF21,$B$8:$B$748,$T$8)</f>
        <v>#REF!</v>
      </c>
      <c r="AK21" s="90" t="e">
        <f>SUMIFS(#REF!,$C$8:$C$748,AF21,$B$8:$B$748,$T$8)</f>
        <v>#REF!</v>
      </c>
      <c r="AL21" s="90" t="e">
        <f>SUMIFS(#REF!,$C$8:$C$748,AF21,$B$8:$B$748,$T$8)</f>
        <v>#REF!</v>
      </c>
      <c r="AM21" s="90" t="e">
        <f>SUMIFS(#REF!,$C$8:$C$748,AF21,$B$8:$B$748,$T$8)</f>
        <v>#REF!</v>
      </c>
      <c r="AN21" s="128" t="e">
        <f>SUMIFS(#REF!,$C$8:$C$748,AF21,$B$8:$B$748,$T$8)</f>
        <v>#REF!</v>
      </c>
      <c r="AO21" s="90" t="e">
        <f>SUMIFS(#REF!,$C$8:$C$748,AF21,$B$8:$B$748,$T$8)</f>
        <v>#REF!</v>
      </c>
      <c r="AP21" s="90" t="e">
        <f>SUMIFS(#REF!,$C$8:$C$748,AF21,$B$8:$B$748,$T$8)</f>
        <v>#REF!</v>
      </c>
      <c r="AQ21" s="90" t="e">
        <f>SUMIFS(#REF!,$C$8:$C$748,AF21,$B$8:$B$748,$T$8)</f>
        <v>#REF!</v>
      </c>
      <c r="AR21" s="90" t="e">
        <f t="shared" si="22"/>
        <v>#REF!</v>
      </c>
      <c r="AS21" s="90"/>
      <c r="AT21" s="119" t="e">
        <f t="shared" si="2"/>
        <v>#REF!</v>
      </c>
      <c r="AV21" s="197">
        <f t="shared" si="23"/>
        <v>10</v>
      </c>
      <c r="AW21" s="123">
        <f t="shared" si="24"/>
        <v>6019.1228000000001</v>
      </c>
      <c r="AX21" s="123">
        <f t="shared" si="25"/>
        <v>1504.78072</v>
      </c>
      <c r="AY21" s="123">
        <f t="shared" si="26"/>
        <v>210.6693008</v>
      </c>
      <c r="AZ21" s="123">
        <f t="shared" si="27"/>
        <v>6861.7999999999993</v>
      </c>
      <c r="BA21" s="162">
        <v>6353.25</v>
      </c>
      <c r="BB21" s="163">
        <f t="shared" si="28"/>
        <v>508.54999999999927</v>
      </c>
      <c r="BD21" s="122">
        <f t="shared" si="29"/>
        <v>3</v>
      </c>
      <c r="BE21" s="123">
        <f t="shared" si="30"/>
        <v>1173.67544</v>
      </c>
      <c r="BF21" s="123">
        <f t="shared" si="31"/>
        <v>293.41886</v>
      </c>
      <c r="BG21" s="123">
        <f t="shared" si="32"/>
        <v>41.078640399999998</v>
      </c>
      <c r="BH21" s="123">
        <f t="shared" si="33"/>
        <v>1337.99</v>
      </c>
      <c r="BI21" s="162">
        <v>1370.27</v>
      </c>
      <c r="BJ21" s="163">
        <f t="shared" si="7"/>
        <v>-32.279999999999973</v>
      </c>
      <c r="BL21" s="124">
        <f t="shared" si="8"/>
        <v>0</v>
      </c>
      <c r="BM21" s="102">
        <f t="shared" si="9"/>
        <v>0</v>
      </c>
      <c r="BN21" s="102" t="e">
        <f>SUMIFS(#REF!,$C$8:$C$748,AF21,$B$8:$B$748,$T$11)</f>
        <v>#REF!</v>
      </c>
      <c r="BO21" s="102" t="e">
        <f>SUMIFS(#REF!,$C$8:$C$748,AF21,$B$8:$B$748,$T$11)</f>
        <v>#REF!</v>
      </c>
      <c r="BP21" s="102" t="e">
        <f>SUMIFS(#REF!,$C$8:$C$748,AF21,$B$8:$B$748,$T$11)</f>
        <v>#REF!</v>
      </c>
      <c r="BQ21" s="102" t="e">
        <f>SUMIFS(#REF!,$C$8:$C$748,AF21,$B$8:$B$748,$T$11)</f>
        <v>#REF!</v>
      </c>
      <c r="BR21" s="125" t="e">
        <f>SUMIFS(#REF!,$C$8:$C$748,AF21,$B$8:$B$748,$T$11)</f>
        <v>#REF!</v>
      </c>
      <c r="BS21" s="102" t="e">
        <f>SUMIFS(#REF!,$C$8:$C$748,AF21,$B$8:$B$748,$T$11)</f>
        <v>#REF!</v>
      </c>
      <c r="BT21" s="102" t="e">
        <f>SUMIFS(#REF!,$C$8:$C$748,AF21,$B$8:$B$748,$T$11)</f>
        <v>#REF!</v>
      </c>
      <c r="BU21" s="102" t="e">
        <f>SUMIFS(#REF!,$C$8:$C$748,AF21,$B$8:$B$748,$T$11)</f>
        <v>#REF!</v>
      </c>
      <c r="BV21" s="102" t="e">
        <f t="shared" si="34"/>
        <v>#REF!</v>
      </c>
      <c r="BW21" s="102">
        <v>0</v>
      </c>
      <c r="BX21" s="126" t="e">
        <f t="shared" si="10"/>
        <v>#REF!</v>
      </c>
      <c r="BZ21" s="122">
        <f t="shared" si="11"/>
        <v>11</v>
      </c>
      <c r="CA21" s="123">
        <f t="shared" si="12"/>
        <v>6741.0263299999988</v>
      </c>
      <c r="CB21" s="123">
        <f t="shared" si="35"/>
        <v>1685.2565999999999</v>
      </c>
      <c r="CC21" s="123">
        <f t="shared" si="36"/>
        <v>235.93592400000003</v>
      </c>
      <c r="CD21" s="123">
        <f t="shared" si="37"/>
        <v>7684.7699999999995</v>
      </c>
      <c r="CE21" s="162">
        <v>7747.43</v>
      </c>
      <c r="CF21" s="163">
        <f t="shared" si="13"/>
        <v>-62.660000000000764</v>
      </c>
      <c r="CH21" s="129">
        <f t="shared" si="14"/>
        <v>24</v>
      </c>
      <c r="CI21" s="123">
        <f t="shared" si="15"/>
        <v>13933.824569999999</v>
      </c>
      <c r="CJ21" s="123" t="e">
        <f t="shared" si="16"/>
        <v>#REF!</v>
      </c>
      <c r="CK21" s="123" t="e">
        <f t="shared" si="17"/>
        <v>#REF!</v>
      </c>
      <c r="CL21" s="123" t="e">
        <f>SUM(AL21,#REF!,BH21,BP21,CD21)</f>
        <v>#REF!</v>
      </c>
      <c r="CM21" s="123" t="e">
        <f>SUM(AM21,#REF!,#REF!,BQ21,#REF!)</f>
        <v>#REF!</v>
      </c>
      <c r="CN21" s="123" t="e">
        <f>SUM(AN21,#REF!,#REF!,BR21,#REF!)</f>
        <v>#REF!</v>
      </c>
      <c r="CO21" s="123" t="e">
        <f>SUM(AO21,#REF!,#REF!,BS21,#REF!)</f>
        <v>#REF!</v>
      </c>
      <c r="CP21" s="123" t="e">
        <f>SUM(AP21,#REF!,#REF!,BT21,#REF!)</f>
        <v>#REF!</v>
      </c>
      <c r="CQ21" s="123" t="e">
        <f>SUM(AQ21,#REF!,#REF!,BU21,#REF!)</f>
        <v>#REF!</v>
      </c>
      <c r="CR21" s="123" t="e">
        <f>SUM(AR21,AZ21,#REF!,BV21,#REF!)</f>
        <v>#REF!</v>
      </c>
      <c r="CS21" s="123">
        <f t="shared" si="18"/>
        <v>15470.95</v>
      </c>
      <c r="CT21" s="121" t="e">
        <f t="shared" si="38"/>
        <v>#REF!</v>
      </c>
    </row>
    <row r="22" spans="1:98" ht="15" customHeight="1" thickBot="1" x14ac:dyDescent="0.3">
      <c r="A22" s="105">
        <f>+IF(B22="","",SUBTOTAL(3,B$8:B22))</f>
        <v>15</v>
      </c>
      <c r="B22" s="106" t="str">
        <f>'Detailed Report'!O18</f>
        <v>Fuddruckers - New Maadi</v>
      </c>
      <c r="C22" s="107">
        <f>TRUNC('Detailed Report'!Q18,0)</f>
        <v>46023</v>
      </c>
      <c r="D22" s="108">
        <f>'Detailed Report'!P18</f>
        <v>3375742035</v>
      </c>
      <c r="E22" s="106" t="str">
        <f>'Detailed Report'!S18</f>
        <v>Successful</v>
      </c>
      <c r="F22" s="109">
        <f>IF(E22=$E$6,('Detailed Report'!Y18),IF(E22=$E$5,(0),0))</f>
        <v>843.98</v>
      </c>
      <c r="G22" s="106">
        <f>IF(E22=$E$6,('Detailed Report'!AQ18),IF(E22=$E$5,('Detailed Report'!AW18),0))</f>
        <v>740.33333000000005</v>
      </c>
      <c r="H22" s="106">
        <f>'Detailed Report'!AS18</f>
        <v>185.08332999999999</v>
      </c>
      <c r="I22" s="106">
        <f>'Detailed Report'!AT18</f>
        <v>25.911666199999999</v>
      </c>
      <c r="J22" s="106">
        <f>'Detailed Report'!AO18</f>
        <v>14.76965</v>
      </c>
      <c r="K22" s="106">
        <f>'Detailed Report'!AP18</f>
        <v>2.0677509999999999</v>
      </c>
      <c r="L22" s="106">
        <f>'Detailed Report'!AU18/1.14</f>
        <v>0</v>
      </c>
      <c r="M22" s="106">
        <f>'Detailed Report'!AU18-L22</f>
        <v>0</v>
      </c>
      <c r="N22" s="110">
        <f>'Detailed Report'!AW18</f>
        <v>581.94799999999998</v>
      </c>
      <c r="O22" s="111">
        <f t="shared" si="19"/>
        <v>158.38533000000007</v>
      </c>
      <c r="P22" s="110">
        <f>'Detailed Report'!AM18</f>
        <v>30</v>
      </c>
      <c r="Q22" s="110">
        <f>'Detailed Report'!AN18</f>
        <v>4.2</v>
      </c>
      <c r="R22" s="110">
        <f>'Detailed Report'!AU18/1.14</f>
        <v>0</v>
      </c>
      <c r="S22" s="110">
        <f>'Detailed Report'!AU18-'........... - Otlob'!R22</f>
        <v>0</v>
      </c>
      <c r="AF22" s="127">
        <f t="shared" si="39"/>
        <v>46037</v>
      </c>
      <c r="AG22" s="116"/>
      <c r="AH22" s="117">
        <f t="shared" si="20"/>
        <v>0</v>
      </c>
      <c r="AI22" s="90">
        <f t="shared" si="21"/>
        <v>0</v>
      </c>
      <c r="AJ22" s="90" t="e">
        <f>SUMIFS(#REF!,$C$8:$C$748,AF22,$B$8:$B$748,$T$8)</f>
        <v>#REF!</v>
      </c>
      <c r="AK22" s="90" t="e">
        <f>SUMIFS(#REF!,$C$8:$C$748,AF22,$B$8:$B$748,$T$8)</f>
        <v>#REF!</v>
      </c>
      <c r="AL22" s="90" t="e">
        <f>SUMIFS(#REF!,$C$8:$C$748,AF22,$B$8:$B$748,$T$8)</f>
        <v>#REF!</v>
      </c>
      <c r="AM22" s="90" t="e">
        <f>SUMIFS(#REF!,$C$8:$C$748,AF22,$B$8:$B$748,$T$8)</f>
        <v>#REF!</v>
      </c>
      <c r="AN22" s="128" t="e">
        <f>SUMIFS(#REF!,$C$8:$C$748,AF22,$B$8:$B$748,$T$8)</f>
        <v>#REF!</v>
      </c>
      <c r="AO22" s="90" t="e">
        <f>SUMIFS(#REF!,$C$8:$C$748,AF22,$B$8:$B$748,$T$8)</f>
        <v>#REF!</v>
      </c>
      <c r="AP22" s="90" t="e">
        <f>SUMIFS(#REF!,$C$8:$C$748,AF22,$B$8:$B$748,$T$8)</f>
        <v>#REF!</v>
      </c>
      <c r="AQ22" s="90" t="e">
        <f>SUMIFS(#REF!,$C$8:$C$748,AF22,$B$8:$B$748,$T$8)</f>
        <v>#REF!</v>
      </c>
      <c r="AR22" s="90" t="e">
        <f t="shared" si="22"/>
        <v>#REF!</v>
      </c>
      <c r="AS22" s="90"/>
      <c r="AT22" s="119" t="e">
        <f t="shared" si="2"/>
        <v>#REF!</v>
      </c>
      <c r="AV22" s="197">
        <f t="shared" si="23"/>
        <v>16</v>
      </c>
      <c r="AW22" s="123">
        <f t="shared" si="24"/>
        <v>8045.7485999999999</v>
      </c>
      <c r="AX22" s="123">
        <f t="shared" si="25"/>
        <v>2075.1206000000002</v>
      </c>
      <c r="AY22" s="123">
        <f t="shared" si="26"/>
        <v>290.516884</v>
      </c>
      <c r="AZ22" s="123">
        <f t="shared" si="27"/>
        <v>9236.56</v>
      </c>
      <c r="BA22" s="162">
        <v>9198.66</v>
      </c>
      <c r="BB22" s="163">
        <f t="shared" si="28"/>
        <v>37.899999999999636</v>
      </c>
      <c r="BD22" s="122">
        <f t="shared" si="29"/>
        <v>4</v>
      </c>
      <c r="BE22" s="123">
        <f t="shared" si="30"/>
        <v>1669.80702</v>
      </c>
      <c r="BF22" s="123">
        <f t="shared" si="31"/>
        <v>417.45177000000001</v>
      </c>
      <c r="BG22" s="123">
        <f t="shared" si="32"/>
        <v>58.443247800000002</v>
      </c>
      <c r="BH22" s="123">
        <f t="shared" si="33"/>
        <v>1903.58</v>
      </c>
      <c r="BI22" s="162">
        <v>1932.3</v>
      </c>
      <c r="BJ22" s="163">
        <f t="shared" si="7"/>
        <v>-28.720000000000027</v>
      </c>
      <c r="BL22" s="124">
        <f t="shared" si="8"/>
        <v>0</v>
      </c>
      <c r="BM22" s="102">
        <f t="shared" si="9"/>
        <v>0</v>
      </c>
      <c r="BN22" s="102" t="e">
        <f>SUMIFS(#REF!,$C$8:$C$748,AF22,$B$8:$B$748,$T$11)</f>
        <v>#REF!</v>
      </c>
      <c r="BO22" s="102" t="e">
        <f>SUMIFS(#REF!,$C$8:$C$748,AF22,$B$8:$B$748,$T$11)</f>
        <v>#REF!</v>
      </c>
      <c r="BP22" s="102" t="e">
        <f>SUMIFS(#REF!,$C$8:$C$748,AF22,$B$8:$B$748,$T$11)</f>
        <v>#REF!</v>
      </c>
      <c r="BQ22" s="102" t="e">
        <f>SUMIFS(#REF!,$C$8:$C$748,AF22,$B$8:$B$748,$T$11)</f>
        <v>#REF!</v>
      </c>
      <c r="BR22" s="125" t="e">
        <f>SUMIFS(#REF!,$C$8:$C$748,AF22,$B$8:$B$748,$T$11)</f>
        <v>#REF!</v>
      </c>
      <c r="BS22" s="102" t="e">
        <f>SUMIFS(#REF!,$C$8:$C$748,AF22,$B$8:$B$748,$T$11)</f>
        <v>#REF!</v>
      </c>
      <c r="BT22" s="102" t="e">
        <f>SUMIFS(#REF!,$C$8:$C$748,AF22,$B$8:$B$748,$T$11)</f>
        <v>#REF!</v>
      </c>
      <c r="BU22" s="102" t="e">
        <f>SUMIFS(#REF!,$C$8:$C$748,AF22,$B$8:$B$748,$T$11)</f>
        <v>#REF!</v>
      </c>
      <c r="BV22" s="102" t="e">
        <f t="shared" si="34"/>
        <v>#REF!</v>
      </c>
      <c r="BW22" s="102">
        <v>0</v>
      </c>
      <c r="BX22" s="126" t="e">
        <f t="shared" si="10"/>
        <v>#REF!</v>
      </c>
      <c r="BZ22" s="122">
        <f t="shared" si="11"/>
        <v>23</v>
      </c>
      <c r="CA22" s="123">
        <f t="shared" si="12"/>
        <v>11256.710520000001</v>
      </c>
      <c r="CB22" s="123">
        <f t="shared" si="35"/>
        <v>2814.1776499999992</v>
      </c>
      <c r="CC22" s="123">
        <f t="shared" si="36"/>
        <v>393.98487099999994</v>
      </c>
      <c r="CD22" s="123">
        <f t="shared" si="37"/>
        <v>12832.649999999998</v>
      </c>
      <c r="CE22" s="162">
        <v>12774.81</v>
      </c>
      <c r="CF22" s="163">
        <f t="shared" si="13"/>
        <v>57.839999999998327</v>
      </c>
      <c r="CH22" s="134">
        <f t="shared" si="14"/>
        <v>43</v>
      </c>
      <c r="CI22" s="123">
        <f t="shared" si="15"/>
        <v>20972.26614</v>
      </c>
      <c r="CJ22" s="123" t="e">
        <f t="shared" si="16"/>
        <v>#REF!</v>
      </c>
      <c r="CK22" s="123" t="e">
        <f t="shared" si="17"/>
        <v>#REF!</v>
      </c>
      <c r="CL22" s="123" t="e">
        <f>SUM(AL22,#REF!,BH22,BP22,CD22)</f>
        <v>#REF!</v>
      </c>
      <c r="CM22" s="123" t="e">
        <f>SUM(AM22,#REF!,#REF!,BQ22,#REF!)</f>
        <v>#REF!</v>
      </c>
      <c r="CN22" s="123" t="e">
        <f>SUM(AN22,#REF!,#REF!,BR22,#REF!)</f>
        <v>#REF!</v>
      </c>
      <c r="CO22" s="123" t="e">
        <f>SUM(AO22,#REF!,#REF!,BS22,#REF!)</f>
        <v>#REF!</v>
      </c>
      <c r="CP22" s="123" t="e">
        <f>SUM(AP22,#REF!,#REF!,BT22,#REF!)</f>
        <v>#REF!</v>
      </c>
      <c r="CQ22" s="123" t="e">
        <f>SUM(AQ22,#REF!,#REF!,BU22,#REF!)</f>
        <v>#REF!</v>
      </c>
      <c r="CR22" s="123" t="e">
        <f>SUM(AR22,AZ22,#REF!,BV22,#REF!)</f>
        <v>#REF!</v>
      </c>
      <c r="CS22" s="123">
        <f t="shared" si="18"/>
        <v>23905.769999999997</v>
      </c>
      <c r="CT22" s="121" t="e">
        <f t="shared" si="38"/>
        <v>#REF!</v>
      </c>
    </row>
    <row r="23" spans="1:98" ht="15" customHeight="1" thickBot="1" x14ac:dyDescent="0.3">
      <c r="A23" s="105">
        <f>+IF(B23="","",SUBTOTAL(3,B$8:B23))</f>
        <v>16</v>
      </c>
      <c r="B23" s="106" t="str">
        <f>'Detailed Report'!O19</f>
        <v>Fuddruckers - Concord Plaza Mall</v>
      </c>
      <c r="C23" s="107">
        <f>TRUNC('Detailed Report'!Q19,0)</f>
        <v>46023</v>
      </c>
      <c r="D23" s="108">
        <f>'Detailed Report'!P19</f>
        <v>3375788947</v>
      </c>
      <c r="E23" s="106" t="str">
        <f>'Detailed Report'!S19</f>
        <v>Successful</v>
      </c>
      <c r="F23" s="109">
        <f>IF(E23=$E$6,('Detailed Report'!Y19),IF(E23=$E$5,(0),0))</f>
        <v>390.98</v>
      </c>
      <c r="G23" s="106">
        <f>IF(E23=$E$6,('Detailed Report'!AQ19),IF(E23=$E$5,('Detailed Report'!AW19),0))</f>
        <v>342.96490999999997</v>
      </c>
      <c r="H23" s="106">
        <f>'Detailed Report'!AS19</f>
        <v>85.741230000000002</v>
      </c>
      <c r="I23" s="106">
        <f>'Detailed Report'!AT19</f>
        <v>12.0037722</v>
      </c>
      <c r="J23" s="106">
        <f>'Detailed Report'!AO19</f>
        <v>0</v>
      </c>
      <c r="K23" s="106">
        <f>'Detailed Report'!AP19</f>
        <v>0</v>
      </c>
      <c r="L23" s="106">
        <f>'Detailed Report'!AU19/1.14</f>
        <v>0</v>
      </c>
      <c r="M23" s="106">
        <f>'Detailed Report'!AU19-L23</f>
        <v>0</v>
      </c>
      <c r="N23" s="110">
        <f>'Detailed Report'!AW19</f>
        <v>259.03500000000003</v>
      </c>
      <c r="O23" s="111">
        <f t="shared" si="19"/>
        <v>83.92990999999995</v>
      </c>
      <c r="P23" s="110">
        <f>'Detailed Report'!AM19</f>
        <v>30</v>
      </c>
      <c r="Q23" s="110">
        <f>'Detailed Report'!AN19</f>
        <v>4.2</v>
      </c>
      <c r="R23" s="110">
        <f>'Detailed Report'!AU19/1.14</f>
        <v>0</v>
      </c>
      <c r="S23" s="110">
        <f>'Detailed Report'!AU19-'........... - Otlob'!R23</f>
        <v>0</v>
      </c>
      <c r="AF23" s="127">
        <f t="shared" si="39"/>
        <v>46038</v>
      </c>
      <c r="AG23" s="116"/>
      <c r="AH23" s="117">
        <f t="shared" si="20"/>
        <v>0</v>
      </c>
      <c r="AI23" s="90">
        <f t="shared" si="21"/>
        <v>0</v>
      </c>
      <c r="AJ23" s="90" t="e">
        <f>SUMIFS(#REF!,$C$8:$C$748,AF23,$B$8:$B$748,$T$8)</f>
        <v>#REF!</v>
      </c>
      <c r="AK23" s="90" t="e">
        <f>SUMIFS(#REF!,$C$8:$C$748,AF23,$B$8:$B$748,$T$8)</f>
        <v>#REF!</v>
      </c>
      <c r="AL23" s="90" t="e">
        <f>SUMIFS(#REF!,$C$8:$C$748,AF23,$B$8:$B$748,$T$8)</f>
        <v>#REF!</v>
      </c>
      <c r="AM23" s="90" t="e">
        <f>SUMIFS(#REF!,$C$8:$C$748,AF23,$B$8:$B$748,$T$8)</f>
        <v>#REF!</v>
      </c>
      <c r="AN23" s="128" t="e">
        <f>SUMIFS(#REF!,$C$8:$C$748,AF23,$B$8:$B$748,$T$8)</f>
        <v>#REF!</v>
      </c>
      <c r="AO23" s="90" t="e">
        <f>SUMIFS(#REF!,$C$8:$C$748,AF23,$B$8:$B$748,$T$8)</f>
        <v>#REF!</v>
      </c>
      <c r="AP23" s="90" t="e">
        <f>SUMIFS(#REF!,$C$8:$C$748,AF23,$B$8:$B$748,$T$8)</f>
        <v>#REF!</v>
      </c>
      <c r="AQ23" s="90" t="e">
        <f>SUMIFS(#REF!,$C$8:$C$748,AF23,$B$8:$B$748,$T$8)</f>
        <v>#REF!</v>
      </c>
      <c r="AR23" s="90" t="e">
        <f t="shared" si="22"/>
        <v>#REF!</v>
      </c>
      <c r="AS23" s="90"/>
      <c r="AT23" s="119" t="e">
        <f t="shared" si="2"/>
        <v>#REF!</v>
      </c>
      <c r="AV23" s="197">
        <f t="shared" si="23"/>
        <v>10</v>
      </c>
      <c r="AW23" s="123">
        <f t="shared" si="24"/>
        <v>4957.8420800000004</v>
      </c>
      <c r="AX23" s="123">
        <f t="shared" si="25"/>
        <v>1239.4605399999996</v>
      </c>
      <c r="AY23" s="123">
        <f t="shared" si="26"/>
        <v>173.52447560000002</v>
      </c>
      <c r="AZ23" s="123">
        <f t="shared" si="27"/>
        <v>5651.94</v>
      </c>
      <c r="BA23" s="162">
        <v>5541.67</v>
      </c>
      <c r="BB23" s="163">
        <f t="shared" si="28"/>
        <v>110.26999999999953</v>
      </c>
      <c r="BD23" s="122">
        <f t="shared" si="29"/>
        <v>3</v>
      </c>
      <c r="BE23" s="123">
        <f t="shared" si="30"/>
        <v>1065.76315</v>
      </c>
      <c r="BF23" s="123">
        <f t="shared" si="31"/>
        <v>266.44078999999999</v>
      </c>
      <c r="BG23" s="123">
        <f t="shared" si="32"/>
        <v>37.3017106</v>
      </c>
      <c r="BH23" s="123">
        <f t="shared" si="33"/>
        <v>1214.97</v>
      </c>
      <c r="BI23" s="162">
        <v>1198.1400000000001</v>
      </c>
      <c r="BJ23" s="163">
        <f t="shared" si="7"/>
        <v>16.829999999999927</v>
      </c>
      <c r="BL23" s="124">
        <f t="shared" si="8"/>
        <v>0</v>
      </c>
      <c r="BM23" s="102">
        <f t="shared" si="9"/>
        <v>0</v>
      </c>
      <c r="BN23" s="102" t="e">
        <f>SUMIFS(#REF!,$C$8:$C$748,AF23,$B$8:$B$748,$T$11)</f>
        <v>#REF!</v>
      </c>
      <c r="BO23" s="102" t="e">
        <f>SUMIFS(#REF!,$C$8:$C$748,AF23,$B$8:$B$748,$T$11)</f>
        <v>#REF!</v>
      </c>
      <c r="BP23" s="102" t="e">
        <f>SUMIFS(#REF!,$C$8:$C$748,AF23,$B$8:$B$748,$T$11)</f>
        <v>#REF!</v>
      </c>
      <c r="BQ23" s="102" t="e">
        <f>SUMIFS(#REF!,$C$8:$C$748,AF23,$B$8:$B$748,$T$11)</f>
        <v>#REF!</v>
      </c>
      <c r="BR23" s="125" t="e">
        <f>SUMIFS(#REF!,$C$8:$C$748,AF23,$B$8:$B$748,$T$11)</f>
        <v>#REF!</v>
      </c>
      <c r="BS23" s="102" t="e">
        <f>SUMIFS(#REF!,$C$8:$C$748,AF23,$B$8:$B$748,$T$11)</f>
        <v>#REF!</v>
      </c>
      <c r="BT23" s="102" t="e">
        <f>SUMIFS(#REF!,$C$8:$C$748,AF23,$B$8:$B$748,$T$11)</f>
        <v>#REF!</v>
      </c>
      <c r="BU23" s="102" t="e">
        <f>SUMIFS(#REF!,$C$8:$C$748,AF23,$B$8:$B$748,$T$11)</f>
        <v>#REF!</v>
      </c>
      <c r="BV23" s="102" t="e">
        <f t="shared" si="34"/>
        <v>#REF!</v>
      </c>
      <c r="BW23" s="102">
        <v>0</v>
      </c>
      <c r="BX23" s="126" t="e">
        <f t="shared" si="10"/>
        <v>#REF!</v>
      </c>
      <c r="BZ23" s="122">
        <f t="shared" si="11"/>
        <v>26</v>
      </c>
      <c r="CA23" s="123">
        <f t="shared" si="12"/>
        <v>16832.157899999998</v>
      </c>
      <c r="CB23" s="123">
        <f t="shared" si="35"/>
        <v>4208.0395100000005</v>
      </c>
      <c r="CC23" s="123">
        <f t="shared" si="36"/>
        <v>589.1255314</v>
      </c>
      <c r="CD23" s="123">
        <f t="shared" si="37"/>
        <v>18864.659999999996</v>
      </c>
      <c r="CE23" s="162">
        <v>18618.46</v>
      </c>
      <c r="CF23" s="163">
        <f t="shared" si="13"/>
        <v>246.19999999999709</v>
      </c>
      <c r="CH23" s="129">
        <f t="shared" si="14"/>
        <v>39</v>
      </c>
      <c r="CI23" s="123">
        <f t="shared" si="15"/>
        <v>22855.763129999999</v>
      </c>
      <c r="CJ23" s="123" t="e">
        <f t="shared" si="16"/>
        <v>#REF!</v>
      </c>
      <c r="CK23" s="123" t="e">
        <f t="shared" si="17"/>
        <v>#REF!</v>
      </c>
      <c r="CL23" s="123" t="e">
        <f>SUM(AL23,#REF!,BH23,BP23,CD23)</f>
        <v>#REF!</v>
      </c>
      <c r="CM23" s="123" t="e">
        <f>SUM(AM23,#REF!,#REF!,BQ23,#REF!)</f>
        <v>#REF!</v>
      </c>
      <c r="CN23" s="123" t="e">
        <f>SUM(AN23,#REF!,#REF!,BR23,#REF!)</f>
        <v>#REF!</v>
      </c>
      <c r="CO23" s="123" t="e">
        <f>SUM(AO23,#REF!,#REF!,BS23,#REF!)</f>
        <v>#REF!</v>
      </c>
      <c r="CP23" s="123" t="e">
        <f>SUM(AP23,#REF!,#REF!,BT23,#REF!)</f>
        <v>#REF!</v>
      </c>
      <c r="CQ23" s="123" t="e">
        <f>SUM(AQ23,#REF!,#REF!,BU23,#REF!)</f>
        <v>#REF!</v>
      </c>
      <c r="CR23" s="123" t="e">
        <f>SUM(AR23,AZ23,#REF!,BV23,#REF!)</f>
        <v>#REF!</v>
      </c>
      <c r="CS23" s="123">
        <f t="shared" si="18"/>
        <v>25358.27</v>
      </c>
      <c r="CT23" s="121" t="e">
        <f t="shared" si="38"/>
        <v>#REF!</v>
      </c>
    </row>
    <row r="24" spans="1:98" ht="15" customHeight="1" thickBot="1" x14ac:dyDescent="0.3">
      <c r="A24" s="105">
        <f>+IF(B24="","",SUBTOTAL(3,B$8:B24))</f>
        <v>17</v>
      </c>
      <c r="B24" s="106" t="str">
        <f>'Detailed Report'!O20</f>
        <v>Fuddruckers - Concord Plaza Mall</v>
      </c>
      <c r="C24" s="107">
        <f>TRUNC('Detailed Report'!Q20,0)</f>
        <v>46023</v>
      </c>
      <c r="D24" s="108">
        <f>'Detailed Report'!P20</f>
        <v>3375813503</v>
      </c>
      <c r="E24" s="106" t="str">
        <f>'Detailed Report'!S20</f>
        <v>Successful</v>
      </c>
      <c r="F24" s="109">
        <f>IF(E24=$E$6,('Detailed Report'!Y20),IF(E24=$E$5,(0),0))</f>
        <v>837.97</v>
      </c>
      <c r="G24" s="106">
        <f>IF(E24=$E$6,('Detailed Report'!AQ20),IF(E24=$E$5,('Detailed Report'!AW20),0))</f>
        <v>735.06140000000005</v>
      </c>
      <c r="H24" s="106">
        <f>'Detailed Report'!AS20</f>
        <v>183.76535000000001</v>
      </c>
      <c r="I24" s="106">
        <f>'Detailed Report'!AT20</f>
        <v>25.727149000000001</v>
      </c>
      <c r="J24" s="106">
        <f>'Detailed Report'!AO20</f>
        <v>14.664474999999999</v>
      </c>
      <c r="K24" s="106">
        <f>'Detailed Report'!AP20</f>
        <v>2.0530265000000001</v>
      </c>
      <c r="L24" s="106">
        <f>'Detailed Report'!AU20/1.14</f>
        <v>31.570175438596497</v>
      </c>
      <c r="M24" s="106">
        <f>'Detailed Report'!AU20-L24</f>
        <v>4.4198245614035052</v>
      </c>
      <c r="N24" s="110">
        <f>'Detailed Report'!AW20</f>
        <v>575.77</v>
      </c>
      <c r="O24" s="111">
        <f t="shared" si="19"/>
        <v>159.29140000000007</v>
      </c>
      <c r="P24" s="110">
        <f>'Detailed Report'!AM20</f>
        <v>0</v>
      </c>
      <c r="Q24" s="110">
        <f>'Detailed Report'!AN20</f>
        <v>0</v>
      </c>
      <c r="R24" s="110">
        <f>'Detailed Report'!AU20/1.14</f>
        <v>31.570175438596497</v>
      </c>
      <c r="S24" s="110">
        <f>'Detailed Report'!AU20-'........... - Otlob'!R24</f>
        <v>4.4198245614035052</v>
      </c>
      <c r="AF24" s="127">
        <f t="shared" si="39"/>
        <v>46039</v>
      </c>
      <c r="AG24" s="116"/>
      <c r="AH24" s="117">
        <f t="shared" si="20"/>
        <v>0</v>
      </c>
      <c r="AI24" s="90">
        <f t="shared" si="21"/>
        <v>0</v>
      </c>
      <c r="AJ24" s="90" t="e">
        <f>SUMIFS(#REF!,$C$8:$C$748,AF24,$B$8:$B$748,$T$8)</f>
        <v>#REF!</v>
      </c>
      <c r="AK24" s="90" t="e">
        <f>SUMIFS(#REF!,$C$8:$C$748,AF24,$B$8:$B$748,$T$8)</f>
        <v>#REF!</v>
      </c>
      <c r="AL24" s="90" t="e">
        <f>SUMIFS(#REF!,$C$8:$C$748,AF24,$B$8:$B$748,$T$8)</f>
        <v>#REF!</v>
      </c>
      <c r="AM24" s="90" t="e">
        <f>SUMIFS(#REF!,$C$8:$C$748,AF24,$B$8:$B$748,$T$8)</f>
        <v>#REF!</v>
      </c>
      <c r="AN24" s="128" t="e">
        <f>SUMIFS(#REF!,$C$8:$C$748,AF24,$B$8:$B$748,$T$8)</f>
        <v>#REF!</v>
      </c>
      <c r="AO24" s="90" t="e">
        <f>SUMIFS(#REF!,$C$8:$C$748,AF24,$B$8:$B$748,$T$8)</f>
        <v>#REF!</v>
      </c>
      <c r="AP24" s="90" t="e">
        <f>SUMIFS(#REF!,$C$8:$C$748,AF24,$B$8:$B$748,$T$8)</f>
        <v>#REF!</v>
      </c>
      <c r="AQ24" s="90" t="e">
        <f>SUMIFS(#REF!,$C$8:$C$748,AF24,$B$8:$B$748,$T$8)</f>
        <v>#REF!</v>
      </c>
      <c r="AR24" s="90" t="e">
        <f t="shared" si="22"/>
        <v>#REF!</v>
      </c>
      <c r="AS24" s="90"/>
      <c r="AT24" s="119" t="e">
        <f t="shared" si="2"/>
        <v>#REF!</v>
      </c>
      <c r="AV24" s="197">
        <f t="shared" si="23"/>
        <v>20</v>
      </c>
      <c r="AW24" s="123">
        <f t="shared" si="24"/>
        <v>8762.0085099999978</v>
      </c>
      <c r="AX24" s="123">
        <f t="shared" si="25"/>
        <v>2286.7588099999998</v>
      </c>
      <c r="AY24" s="123">
        <f t="shared" si="26"/>
        <v>320.14623339999997</v>
      </c>
      <c r="AZ24" s="123">
        <f t="shared" si="27"/>
        <v>10086.039999999997</v>
      </c>
      <c r="BA24" s="162">
        <v>10060.5</v>
      </c>
      <c r="BB24" s="163">
        <f t="shared" si="28"/>
        <v>25.539999999997235</v>
      </c>
      <c r="BD24" s="122">
        <f t="shared" si="29"/>
        <v>6</v>
      </c>
      <c r="BE24" s="123">
        <f t="shared" si="30"/>
        <v>3294.3684299999995</v>
      </c>
      <c r="BF24" s="123">
        <f t="shared" si="31"/>
        <v>823.59210000000007</v>
      </c>
      <c r="BG24" s="123">
        <f t="shared" si="32"/>
        <v>115.30289400000001</v>
      </c>
      <c r="BH24" s="123">
        <f t="shared" si="33"/>
        <v>3755.5800000000004</v>
      </c>
      <c r="BI24" s="162">
        <v>3736.91</v>
      </c>
      <c r="BJ24" s="163">
        <f t="shared" si="7"/>
        <v>18.670000000000528</v>
      </c>
      <c r="BL24" s="124">
        <f t="shared" si="8"/>
        <v>0</v>
      </c>
      <c r="BM24" s="102">
        <f t="shared" si="9"/>
        <v>0</v>
      </c>
      <c r="BN24" s="102" t="e">
        <f>SUMIFS(#REF!,$C$8:$C$748,AF24,$B$8:$B$748,$T$11)</f>
        <v>#REF!</v>
      </c>
      <c r="BO24" s="102" t="e">
        <f>SUMIFS(#REF!,$C$8:$C$748,AF24,$B$8:$B$748,$T$11)</f>
        <v>#REF!</v>
      </c>
      <c r="BP24" s="102" t="e">
        <f>SUMIFS(#REF!,$C$8:$C$748,AF24,$B$8:$B$748,$T$11)</f>
        <v>#REF!</v>
      </c>
      <c r="BQ24" s="102" t="e">
        <f>SUMIFS(#REF!,$C$8:$C$748,AF24,$B$8:$B$748,$T$11)</f>
        <v>#REF!</v>
      </c>
      <c r="BR24" s="125" t="e">
        <f>SUMIFS(#REF!,$C$8:$C$748,AF24,$B$8:$B$748,$T$11)</f>
        <v>#REF!</v>
      </c>
      <c r="BS24" s="102" t="e">
        <f>SUMIFS(#REF!,$C$8:$C$748,AF24,$B$8:$B$748,$T$11)</f>
        <v>#REF!</v>
      </c>
      <c r="BT24" s="102" t="e">
        <f>SUMIFS(#REF!,$C$8:$C$748,AF24,$B$8:$B$748,$T$11)</f>
        <v>#REF!</v>
      </c>
      <c r="BU24" s="102" t="e">
        <f>SUMIFS(#REF!,$C$8:$C$748,AF24,$B$8:$B$748,$T$11)</f>
        <v>#REF!</v>
      </c>
      <c r="BV24" s="102" t="e">
        <f t="shared" si="34"/>
        <v>#REF!</v>
      </c>
      <c r="BW24" s="102">
        <v>0</v>
      </c>
      <c r="BX24" s="126" t="e">
        <f t="shared" si="10"/>
        <v>#REF!</v>
      </c>
      <c r="BZ24" s="122">
        <f t="shared" si="11"/>
        <v>17</v>
      </c>
      <c r="CA24" s="123">
        <f t="shared" si="12"/>
        <v>10827.710499999999</v>
      </c>
      <c r="CB24" s="123">
        <f t="shared" si="35"/>
        <v>2706.9276699999996</v>
      </c>
      <c r="CC24" s="123">
        <f t="shared" si="36"/>
        <v>378.96987379999996</v>
      </c>
      <c r="CD24" s="123">
        <f t="shared" si="37"/>
        <v>12343.589999999998</v>
      </c>
      <c r="CE24" s="162">
        <v>12077.15</v>
      </c>
      <c r="CF24" s="163">
        <f t="shared" si="13"/>
        <v>266.43999999999869</v>
      </c>
      <c r="CH24" s="129">
        <f t="shared" si="14"/>
        <v>43</v>
      </c>
      <c r="CI24" s="123">
        <f t="shared" si="15"/>
        <v>22884.087439999996</v>
      </c>
      <c r="CJ24" s="123" t="e">
        <f t="shared" si="16"/>
        <v>#REF!</v>
      </c>
      <c r="CK24" s="123" t="e">
        <f t="shared" si="17"/>
        <v>#REF!</v>
      </c>
      <c r="CL24" s="123" t="e">
        <f>SUM(AL24,#REF!,BH24,BP24,CD24)</f>
        <v>#REF!</v>
      </c>
      <c r="CM24" s="123" t="e">
        <f>SUM(AM24,#REF!,#REF!,BQ24,#REF!)</f>
        <v>#REF!</v>
      </c>
      <c r="CN24" s="123" t="e">
        <f>SUM(AN24,#REF!,#REF!,BR24,#REF!)</f>
        <v>#REF!</v>
      </c>
      <c r="CO24" s="123" t="e">
        <f>SUM(AO24,#REF!,#REF!,BS24,#REF!)</f>
        <v>#REF!</v>
      </c>
      <c r="CP24" s="123" t="e">
        <f>SUM(AP24,#REF!,#REF!,BT24,#REF!)</f>
        <v>#REF!</v>
      </c>
      <c r="CQ24" s="123" t="e">
        <f>SUM(AQ24,#REF!,#REF!,BU24,#REF!)</f>
        <v>#REF!</v>
      </c>
      <c r="CR24" s="123" t="e">
        <f>SUM(AR24,AZ24,#REF!,BV24,#REF!)</f>
        <v>#REF!</v>
      </c>
      <c r="CS24" s="123">
        <f t="shared" si="18"/>
        <v>25874.559999999998</v>
      </c>
      <c r="CT24" s="121" t="e">
        <f t="shared" si="38"/>
        <v>#REF!</v>
      </c>
    </row>
    <row r="25" spans="1:98" ht="15" customHeight="1" thickBot="1" x14ac:dyDescent="0.3">
      <c r="A25" s="105">
        <f>+IF(B25="","",SUBTOTAL(3,B$8:B25))</f>
        <v>18</v>
      </c>
      <c r="B25" s="106" t="str">
        <f>'Detailed Report'!O21</f>
        <v>Fuddruckers - New Maadi</v>
      </c>
      <c r="C25" s="107">
        <f>TRUNC('Detailed Report'!Q21,0)</f>
        <v>46023</v>
      </c>
      <c r="D25" s="108">
        <f>'Detailed Report'!P21</f>
        <v>3375816988</v>
      </c>
      <c r="E25" s="106" t="str">
        <f>'Detailed Report'!S21</f>
        <v>Successful</v>
      </c>
      <c r="F25" s="109">
        <f>IF(E25=$E$6,('Detailed Report'!Y21),IF(E25=$E$5,(0),0))</f>
        <v>738.97</v>
      </c>
      <c r="G25" s="106">
        <f>IF(E25=$E$6,('Detailed Report'!AQ21),IF(E25=$E$5,('Detailed Report'!AW21),0))</f>
        <v>648.21929999999998</v>
      </c>
      <c r="H25" s="106">
        <f>'Detailed Report'!AS21</f>
        <v>162.05483000000001</v>
      </c>
      <c r="I25" s="106">
        <f>'Detailed Report'!AT21</f>
        <v>22.687676199999999</v>
      </c>
      <c r="J25" s="106">
        <f>'Detailed Report'!AO21</f>
        <v>12.931975</v>
      </c>
      <c r="K25" s="106">
        <f>'Detailed Report'!AP21</f>
        <v>1.8104765</v>
      </c>
      <c r="L25" s="106">
        <f>'Detailed Report'!AU21/1.14</f>
        <v>23.67543859649123</v>
      </c>
      <c r="M25" s="106">
        <f>'Detailed Report'!AU21-L25</f>
        <v>3.3145614035087689</v>
      </c>
      <c r="N25" s="110">
        <f>'Detailed Report'!AW21</f>
        <v>512.495</v>
      </c>
      <c r="O25" s="111">
        <f t="shared" si="19"/>
        <v>135.72429999999997</v>
      </c>
      <c r="P25" s="110">
        <f>'Detailed Report'!AM21</f>
        <v>0</v>
      </c>
      <c r="Q25" s="110">
        <f>'Detailed Report'!AN21</f>
        <v>0</v>
      </c>
      <c r="R25" s="110">
        <f>'Detailed Report'!AU21/1.14</f>
        <v>23.67543859649123</v>
      </c>
      <c r="S25" s="110">
        <f>'Detailed Report'!AU21-'........... - Otlob'!R25</f>
        <v>3.3145614035087689</v>
      </c>
      <c r="AF25" s="127">
        <f t="shared" si="39"/>
        <v>46040</v>
      </c>
      <c r="AG25" s="116"/>
      <c r="AH25" s="117">
        <f t="shared" si="20"/>
        <v>0</v>
      </c>
      <c r="AI25" s="90">
        <f t="shared" si="21"/>
        <v>0</v>
      </c>
      <c r="AJ25" s="90" t="e">
        <f>SUMIFS(#REF!,$C$8:$C$748,AF25,$B$8:$B$748,$T$8)</f>
        <v>#REF!</v>
      </c>
      <c r="AK25" s="90" t="e">
        <f>SUMIFS(#REF!,$C$8:$C$748,AF25,$B$8:$B$748,$T$8)</f>
        <v>#REF!</v>
      </c>
      <c r="AL25" s="90" t="e">
        <f>SUMIFS(#REF!,$C$8:$C$748,AF25,$B$8:$B$748,$T$8)</f>
        <v>#REF!</v>
      </c>
      <c r="AM25" s="90" t="e">
        <f>SUMIFS(#REF!,$C$8:$C$748,AF25,$B$8:$B$748,$T$8)</f>
        <v>#REF!</v>
      </c>
      <c r="AN25" s="128" t="e">
        <f>SUMIFS(#REF!,$C$8:$C$748,AF25,$B$8:$B$748,$T$8)</f>
        <v>#REF!</v>
      </c>
      <c r="AO25" s="90" t="e">
        <f>SUMIFS(#REF!,$C$8:$C$748,AF25,$B$8:$B$748,$T$8)</f>
        <v>#REF!</v>
      </c>
      <c r="AP25" s="90" t="e">
        <f>SUMIFS(#REF!,$C$8:$C$748,AF25,$B$8:$B$748,$T$8)</f>
        <v>#REF!</v>
      </c>
      <c r="AQ25" s="90" t="e">
        <f>SUMIFS(#REF!,$C$8:$C$748,AF25,$B$8:$B$748,$T$8)</f>
        <v>#REF!</v>
      </c>
      <c r="AR25" s="90" t="e">
        <f t="shared" si="22"/>
        <v>#REF!</v>
      </c>
      <c r="AS25" s="90"/>
      <c r="AT25" s="119" t="e">
        <f t="shared" si="2"/>
        <v>#REF!</v>
      </c>
      <c r="AV25" s="197">
        <f t="shared" si="23"/>
        <v>14</v>
      </c>
      <c r="AW25" s="123">
        <f t="shared" si="24"/>
        <v>6940.3596400000006</v>
      </c>
      <c r="AX25" s="123">
        <f t="shared" si="25"/>
        <v>1735.0899299999996</v>
      </c>
      <c r="AY25" s="123">
        <f t="shared" si="26"/>
        <v>242.91259020000001</v>
      </c>
      <c r="AZ25" s="123">
        <f t="shared" si="27"/>
        <v>7912.0099999999993</v>
      </c>
      <c r="BA25" s="162">
        <v>7838.66</v>
      </c>
      <c r="BB25" s="163">
        <f t="shared" si="28"/>
        <v>73.349999999999454</v>
      </c>
      <c r="BD25" s="122">
        <f t="shared" si="29"/>
        <v>7</v>
      </c>
      <c r="BE25" s="123">
        <f t="shared" si="30"/>
        <v>3083.5175399999998</v>
      </c>
      <c r="BF25" s="123">
        <f t="shared" si="31"/>
        <v>770.87940000000003</v>
      </c>
      <c r="BG25" s="123">
        <f t="shared" si="32"/>
        <v>107.92311600000001</v>
      </c>
      <c r="BH25" s="123">
        <f t="shared" si="33"/>
        <v>3515.21</v>
      </c>
      <c r="BI25" s="162">
        <v>3575.82</v>
      </c>
      <c r="BJ25" s="163">
        <f t="shared" si="7"/>
        <v>-60.610000000000127</v>
      </c>
      <c r="BL25" s="124">
        <f t="shared" si="8"/>
        <v>0</v>
      </c>
      <c r="BM25" s="102">
        <f t="shared" si="9"/>
        <v>0</v>
      </c>
      <c r="BN25" s="102" t="e">
        <f>SUMIFS(#REF!,$C$8:$C$748,AF25,$B$8:$B$748,$T$11)</f>
        <v>#REF!</v>
      </c>
      <c r="BO25" s="102" t="e">
        <f>SUMIFS(#REF!,$C$8:$C$748,AF25,$B$8:$B$748,$T$11)</f>
        <v>#REF!</v>
      </c>
      <c r="BP25" s="102" t="e">
        <f>SUMIFS(#REF!,$C$8:$C$748,AF25,$B$8:$B$748,$T$11)</f>
        <v>#REF!</v>
      </c>
      <c r="BQ25" s="102" t="e">
        <f>SUMIFS(#REF!,$C$8:$C$748,AF25,$B$8:$B$748,$T$11)</f>
        <v>#REF!</v>
      </c>
      <c r="BR25" s="125" t="e">
        <f>SUMIFS(#REF!,$C$8:$C$748,AF25,$B$8:$B$748,$T$11)</f>
        <v>#REF!</v>
      </c>
      <c r="BS25" s="102" t="e">
        <f>SUMIFS(#REF!,$C$8:$C$748,AF25,$B$8:$B$748,$T$11)</f>
        <v>#REF!</v>
      </c>
      <c r="BT25" s="102" t="e">
        <f>SUMIFS(#REF!,$C$8:$C$748,AF25,$B$8:$B$748,$T$11)</f>
        <v>#REF!</v>
      </c>
      <c r="BU25" s="102" t="e">
        <f>SUMIFS(#REF!,$C$8:$C$748,AF25,$B$8:$B$748,$T$11)</f>
        <v>#REF!</v>
      </c>
      <c r="BV25" s="102" t="e">
        <f t="shared" si="34"/>
        <v>#REF!</v>
      </c>
      <c r="BW25" s="102">
        <v>0</v>
      </c>
      <c r="BX25" s="126" t="e">
        <f t="shared" si="10"/>
        <v>#REF!</v>
      </c>
      <c r="BZ25" s="122">
        <f t="shared" si="11"/>
        <v>11</v>
      </c>
      <c r="CA25" s="123">
        <f t="shared" si="12"/>
        <v>5041.2280699999992</v>
      </c>
      <c r="CB25" s="123">
        <f t="shared" si="35"/>
        <v>1260.3070400000001</v>
      </c>
      <c r="CC25" s="123">
        <f t="shared" si="36"/>
        <v>176.44298560000001</v>
      </c>
      <c r="CD25" s="123">
        <f t="shared" si="37"/>
        <v>5746.9999999999991</v>
      </c>
      <c r="CE25" s="162">
        <v>5725.08</v>
      </c>
      <c r="CF25" s="163">
        <f t="shared" si="13"/>
        <v>21.919999999999163</v>
      </c>
      <c r="CH25" s="129">
        <f t="shared" si="14"/>
        <v>32</v>
      </c>
      <c r="CI25" s="123">
        <f t="shared" si="15"/>
        <v>15065.105249999999</v>
      </c>
      <c r="CJ25" s="123" t="e">
        <f t="shared" si="16"/>
        <v>#REF!</v>
      </c>
      <c r="CK25" s="123" t="e">
        <f t="shared" si="17"/>
        <v>#REF!</v>
      </c>
      <c r="CL25" s="123" t="e">
        <f>SUM(AL25,#REF!,BH25,BP25,CD25)</f>
        <v>#REF!</v>
      </c>
      <c r="CM25" s="123" t="e">
        <f>SUM(AM25,#REF!,#REF!,BQ25,#REF!)</f>
        <v>#REF!</v>
      </c>
      <c r="CN25" s="123" t="e">
        <f>SUM(AN25,#REF!,#REF!,BR25,#REF!)</f>
        <v>#REF!</v>
      </c>
      <c r="CO25" s="123" t="e">
        <f>SUM(AO25,#REF!,#REF!,BS25,#REF!)</f>
        <v>#REF!</v>
      </c>
      <c r="CP25" s="123" t="e">
        <f>SUM(AP25,#REF!,#REF!,BT25,#REF!)</f>
        <v>#REF!</v>
      </c>
      <c r="CQ25" s="123" t="e">
        <f>SUM(AQ25,#REF!,#REF!,BU25,#REF!)</f>
        <v>#REF!</v>
      </c>
      <c r="CR25" s="123" t="e">
        <f>SUM(AR25,AZ25,#REF!,BV25,#REF!)</f>
        <v>#REF!</v>
      </c>
      <c r="CS25" s="123">
        <f t="shared" si="18"/>
        <v>17139.559999999998</v>
      </c>
      <c r="CT25" s="121" t="e">
        <f t="shared" si="38"/>
        <v>#REF!</v>
      </c>
    </row>
    <row r="26" spans="1:98" ht="15" customHeight="1" thickBot="1" x14ac:dyDescent="0.3">
      <c r="A26" s="105">
        <f>+IF(B26="","",SUBTOTAL(3,B$8:B26))</f>
        <v>19</v>
      </c>
      <c r="B26" s="106" t="str">
        <f>'Detailed Report'!O22</f>
        <v>Fuddruckers - Concord Plaza Mall</v>
      </c>
      <c r="C26" s="107">
        <f>TRUNC('Detailed Report'!Q22,0)</f>
        <v>46023</v>
      </c>
      <c r="D26" s="108">
        <f>'Detailed Report'!P22</f>
        <v>3375858818</v>
      </c>
      <c r="E26" s="106" t="str">
        <f>'Detailed Report'!S22</f>
        <v>Successful</v>
      </c>
      <c r="F26" s="109">
        <f>IF(E26=$E$6,('Detailed Report'!Y22),IF(E26=$E$5,(0),0))</f>
        <v>453.99</v>
      </c>
      <c r="G26" s="106">
        <f>IF(E26=$E$6,('Detailed Report'!AQ22),IF(E26=$E$5,('Detailed Report'!AW22),0))</f>
        <v>398.23683999999997</v>
      </c>
      <c r="H26" s="106">
        <f>'Detailed Report'!AS22</f>
        <v>99.559209999999993</v>
      </c>
      <c r="I26" s="106">
        <f>'Detailed Report'!AT22</f>
        <v>13.9382894</v>
      </c>
      <c r="J26" s="106">
        <f>'Detailed Report'!AO22</f>
        <v>7.9448249999999998</v>
      </c>
      <c r="K26" s="106">
        <f>'Detailed Report'!AP22</f>
        <v>1.1122755</v>
      </c>
      <c r="L26" s="106">
        <f>'Detailed Report'!AU22/1.14</f>
        <v>0</v>
      </c>
      <c r="M26" s="106">
        <f>'Detailed Report'!AU22-L26</f>
        <v>0</v>
      </c>
      <c r="N26" s="110">
        <f>'Detailed Report'!AW22</f>
        <v>331.435</v>
      </c>
      <c r="O26" s="111">
        <f t="shared" si="19"/>
        <v>66.80183999999997</v>
      </c>
      <c r="P26" s="110">
        <f>'Detailed Report'!AM22</f>
        <v>0</v>
      </c>
      <c r="Q26" s="110">
        <f>'Detailed Report'!AN22</f>
        <v>0</v>
      </c>
      <c r="R26" s="110">
        <f>'Detailed Report'!AU22/1.14</f>
        <v>0</v>
      </c>
      <c r="S26" s="110">
        <f>'Detailed Report'!AU22-'........... - Otlob'!R26</f>
        <v>0</v>
      </c>
      <c r="AF26" s="127">
        <f t="shared" si="39"/>
        <v>46041</v>
      </c>
      <c r="AG26" s="116"/>
      <c r="AH26" s="117">
        <f t="shared" si="20"/>
        <v>0</v>
      </c>
      <c r="AI26" s="90">
        <f t="shared" si="21"/>
        <v>0</v>
      </c>
      <c r="AJ26" s="90" t="e">
        <f>SUMIFS(#REF!,$C$8:$C$748,AF26,$B$8:$B$748,$T$8)</f>
        <v>#REF!</v>
      </c>
      <c r="AK26" s="90" t="e">
        <f>SUMIFS(#REF!,$C$8:$C$748,AF26,$B$8:$B$748,$T$8)</f>
        <v>#REF!</v>
      </c>
      <c r="AL26" s="90" t="e">
        <f>SUMIFS(#REF!,$C$8:$C$748,AF26,$B$8:$B$748,$T$8)</f>
        <v>#REF!</v>
      </c>
      <c r="AM26" s="90" t="e">
        <f>SUMIFS(#REF!,$C$8:$C$748,AF26,$B$8:$B$748,$T$8)</f>
        <v>#REF!</v>
      </c>
      <c r="AN26" s="128" t="e">
        <f>SUMIFS(#REF!,$C$8:$C$748,AF26,$B$8:$B$748,$T$8)</f>
        <v>#REF!</v>
      </c>
      <c r="AO26" s="90" t="e">
        <f>SUMIFS(#REF!,$C$8:$C$748,AF26,$B$8:$B$748,$T$8)</f>
        <v>#REF!</v>
      </c>
      <c r="AP26" s="90" t="e">
        <f>SUMIFS(#REF!,$C$8:$C$748,AF26,$B$8:$B$748,$T$8)</f>
        <v>#REF!</v>
      </c>
      <c r="AQ26" s="90" t="e">
        <f>SUMIFS(#REF!,$C$8:$C$748,AF26,$B$8:$B$748,$T$8)</f>
        <v>#REF!</v>
      </c>
      <c r="AR26" s="90" t="e">
        <f t="shared" si="22"/>
        <v>#REF!</v>
      </c>
      <c r="AS26" s="90"/>
      <c r="AT26" s="119" t="e">
        <f t="shared" si="2"/>
        <v>#REF!</v>
      </c>
      <c r="AV26" s="197">
        <f t="shared" si="23"/>
        <v>7</v>
      </c>
      <c r="AW26" s="123">
        <f t="shared" si="24"/>
        <v>3505.0614</v>
      </c>
      <c r="AX26" s="123">
        <f t="shared" si="25"/>
        <v>876.2653600000001</v>
      </c>
      <c r="AY26" s="123">
        <f t="shared" si="26"/>
        <v>122.67715040000002</v>
      </c>
      <c r="AZ26" s="123">
        <f t="shared" si="27"/>
        <v>3995.77</v>
      </c>
      <c r="BA26" s="162">
        <v>3986.61</v>
      </c>
      <c r="BB26" s="163">
        <f t="shared" si="28"/>
        <v>9.1599999999998545</v>
      </c>
      <c r="BD26" s="122">
        <f t="shared" si="29"/>
        <v>3</v>
      </c>
      <c r="BE26" s="123">
        <f t="shared" si="30"/>
        <v>1314.65789</v>
      </c>
      <c r="BF26" s="123">
        <f t="shared" si="31"/>
        <v>328.66448000000003</v>
      </c>
      <c r="BG26" s="123">
        <f t="shared" si="32"/>
        <v>46.013027200000003</v>
      </c>
      <c r="BH26" s="123">
        <f t="shared" si="33"/>
        <v>1498.71</v>
      </c>
      <c r="BI26" s="162">
        <v>1515.06</v>
      </c>
      <c r="BJ26" s="163">
        <f t="shared" si="7"/>
        <v>-16.349999999999909</v>
      </c>
      <c r="BL26" s="124">
        <f t="shared" si="8"/>
        <v>0</v>
      </c>
      <c r="BM26" s="102">
        <f t="shared" si="9"/>
        <v>0</v>
      </c>
      <c r="BN26" s="102" t="e">
        <f>SUMIFS(#REF!,$C$8:$C$748,AF26,$B$8:$B$748,$T$11)</f>
        <v>#REF!</v>
      </c>
      <c r="BO26" s="102" t="e">
        <f>SUMIFS(#REF!,$C$8:$C$748,AF26,$B$8:$B$748,$T$11)</f>
        <v>#REF!</v>
      </c>
      <c r="BP26" s="102" t="e">
        <f>SUMIFS(#REF!,$C$8:$C$748,AF26,$B$8:$B$748,$T$11)</f>
        <v>#REF!</v>
      </c>
      <c r="BQ26" s="102" t="e">
        <f>SUMIFS(#REF!,$C$8:$C$748,AF26,$B$8:$B$748,$T$11)</f>
        <v>#REF!</v>
      </c>
      <c r="BR26" s="125" t="e">
        <f>SUMIFS(#REF!,$C$8:$C$748,AF26,$B$8:$B$748,$T$11)</f>
        <v>#REF!</v>
      </c>
      <c r="BS26" s="102" t="e">
        <f>SUMIFS(#REF!,$C$8:$C$748,AF26,$B$8:$B$748,$T$11)</f>
        <v>#REF!</v>
      </c>
      <c r="BT26" s="102" t="e">
        <f>SUMIFS(#REF!,$C$8:$C$748,AF26,$B$8:$B$748,$T$11)</f>
        <v>#REF!</v>
      </c>
      <c r="BU26" s="102" t="e">
        <f>SUMIFS(#REF!,$C$8:$C$748,AF26,$B$8:$B$748,$T$11)</f>
        <v>#REF!</v>
      </c>
      <c r="BV26" s="102" t="e">
        <f t="shared" si="34"/>
        <v>#REF!</v>
      </c>
      <c r="BW26" s="102">
        <v>0</v>
      </c>
      <c r="BX26" s="126" t="e">
        <f t="shared" si="10"/>
        <v>#REF!</v>
      </c>
      <c r="BZ26" s="122">
        <f t="shared" si="11"/>
        <v>19</v>
      </c>
      <c r="CA26" s="123">
        <f t="shared" si="12"/>
        <v>11036.087720000003</v>
      </c>
      <c r="CB26" s="123">
        <f t="shared" si="35"/>
        <v>2759.02196</v>
      </c>
      <c r="CC26" s="123">
        <f t="shared" si="36"/>
        <v>386.26307440000005</v>
      </c>
      <c r="CD26" s="123">
        <f t="shared" si="37"/>
        <v>12581.139999999998</v>
      </c>
      <c r="CE26" s="162">
        <v>12577.6</v>
      </c>
      <c r="CF26" s="163">
        <f t="shared" si="13"/>
        <v>3.5399999999972351</v>
      </c>
      <c r="CH26" s="129">
        <f t="shared" si="14"/>
        <v>29</v>
      </c>
      <c r="CI26" s="123">
        <f t="shared" si="15"/>
        <v>15855.807010000004</v>
      </c>
      <c r="CJ26" s="123" t="e">
        <f t="shared" si="16"/>
        <v>#REF!</v>
      </c>
      <c r="CK26" s="123" t="e">
        <f t="shared" si="17"/>
        <v>#REF!</v>
      </c>
      <c r="CL26" s="123" t="e">
        <f>SUM(AL26,#REF!,BH26,BP26,CD26)</f>
        <v>#REF!</v>
      </c>
      <c r="CM26" s="123" t="e">
        <f>SUM(AM26,#REF!,#REF!,BQ26,#REF!)</f>
        <v>#REF!</v>
      </c>
      <c r="CN26" s="123" t="e">
        <f>SUM(AN26,#REF!,#REF!,BR26,#REF!)</f>
        <v>#REF!</v>
      </c>
      <c r="CO26" s="123" t="e">
        <f>SUM(AO26,#REF!,#REF!,BS26,#REF!)</f>
        <v>#REF!</v>
      </c>
      <c r="CP26" s="123" t="e">
        <f>SUM(AP26,#REF!,#REF!,BT26,#REF!)</f>
        <v>#REF!</v>
      </c>
      <c r="CQ26" s="123" t="e">
        <f>SUM(AQ26,#REF!,#REF!,BU26,#REF!)</f>
        <v>#REF!</v>
      </c>
      <c r="CR26" s="123" t="e">
        <f>SUM(AR26,AZ26,#REF!,BV26,#REF!)</f>
        <v>#REF!</v>
      </c>
      <c r="CS26" s="123">
        <f t="shared" si="18"/>
        <v>18079.27</v>
      </c>
      <c r="CT26" s="121" t="e">
        <f t="shared" si="38"/>
        <v>#REF!</v>
      </c>
    </row>
    <row r="27" spans="1:98" ht="15" customHeight="1" thickBot="1" x14ac:dyDescent="0.3">
      <c r="A27" s="105">
        <f>+IF(B27="","",SUBTOTAL(3,B$8:B27))</f>
        <v>20</v>
      </c>
      <c r="B27" s="106" t="str">
        <f>'Detailed Report'!O23</f>
        <v>Fuddruckers - New Maadi</v>
      </c>
      <c r="C27" s="107">
        <f>TRUNC('Detailed Report'!Q23,0)</f>
        <v>46023</v>
      </c>
      <c r="D27" s="108">
        <f>'Detailed Report'!P23</f>
        <v>3375859856</v>
      </c>
      <c r="E27" s="106" t="str">
        <f>'Detailed Report'!S23</f>
        <v>Successful</v>
      </c>
      <c r="F27" s="109">
        <f>IF(E27=$E$6,('Detailed Report'!Y23),IF(E27=$E$5,(0),0))</f>
        <v>1073.6400000000001</v>
      </c>
      <c r="G27" s="106">
        <f>IF(E27=$E$6,('Detailed Report'!AQ23),IF(E27=$E$5,('Detailed Report'!AW23),0))</f>
        <v>941.78947000000005</v>
      </c>
      <c r="H27" s="106">
        <f>'Detailed Report'!AS23</f>
        <v>235.44737000000001</v>
      </c>
      <c r="I27" s="106">
        <f>'Detailed Report'!AT23</f>
        <v>32.962631799999997</v>
      </c>
      <c r="J27" s="106">
        <f>'Detailed Report'!AO23</f>
        <v>18.788699999999999</v>
      </c>
      <c r="K27" s="106">
        <f>'Detailed Report'!AP23</f>
        <v>2.6304180000000001</v>
      </c>
      <c r="L27" s="106">
        <f>'Detailed Report'!AU23/1.14</f>
        <v>26.307017543859651</v>
      </c>
      <c r="M27" s="106">
        <f>'Detailed Report'!AU23-L27</f>
        <v>3.6829824561403477</v>
      </c>
      <c r="N27" s="110">
        <f>'Detailed Report'!AW23</f>
        <v>753.82100000000003</v>
      </c>
      <c r="O27" s="111">
        <f t="shared" si="19"/>
        <v>187.96847000000002</v>
      </c>
      <c r="P27" s="110">
        <f>'Detailed Report'!AM23</f>
        <v>0</v>
      </c>
      <c r="Q27" s="110">
        <f>'Detailed Report'!AN23</f>
        <v>0</v>
      </c>
      <c r="R27" s="110">
        <f>'Detailed Report'!AU23/1.14</f>
        <v>26.307017543859651</v>
      </c>
      <c r="S27" s="110">
        <f>'Detailed Report'!AU23-'........... - Otlob'!R27</f>
        <v>3.6829824561403477</v>
      </c>
      <c r="AF27" s="127">
        <f t="shared" si="39"/>
        <v>46042</v>
      </c>
      <c r="AG27" s="116"/>
      <c r="AH27" s="117">
        <f t="shared" si="20"/>
        <v>0</v>
      </c>
      <c r="AI27" s="90">
        <f t="shared" si="21"/>
        <v>0</v>
      </c>
      <c r="AJ27" s="90" t="e">
        <f>SUMIFS(#REF!,$C$8:$C$748,AF27,$B$8:$B$748,$T$8)</f>
        <v>#REF!</v>
      </c>
      <c r="AK27" s="90" t="e">
        <f>SUMIFS(#REF!,$C$8:$C$748,AF27,$B$8:$B$748,$T$8)</f>
        <v>#REF!</v>
      </c>
      <c r="AL27" s="90" t="e">
        <f>SUMIFS(#REF!,$C$8:$C$748,AF27,$B$8:$B$748,$T$8)</f>
        <v>#REF!</v>
      </c>
      <c r="AM27" s="90" t="e">
        <f>SUMIFS(#REF!,$C$8:$C$748,AF27,$B$8:$B$748,$T$8)</f>
        <v>#REF!</v>
      </c>
      <c r="AN27" s="128" t="e">
        <f>SUMIFS(#REF!,$C$8:$C$748,AF27,$B$8:$B$748,$T$8)</f>
        <v>#REF!</v>
      </c>
      <c r="AO27" s="90" t="e">
        <f>SUMIFS(#REF!,$C$8:$C$748,AF27,$B$8:$B$748,$T$8)</f>
        <v>#REF!</v>
      </c>
      <c r="AP27" s="90" t="e">
        <f>SUMIFS(#REF!,$C$8:$C$748,AF27,$B$8:$B$748,$T$8)</f>
        <v>#REF!</v>
      </c>
      <c r="AQ27" s="90" t="e">
        <f>SUMIFS(#REF!,$C$8:$C$748,AF27,$B$8:$B$748,$T$8)</f>
        <v>#REF!</v>
      </c>
      <c r="AR27" s="90" t="e">
        <f t="shared" si="22"/>
        <v>#REF!</v>
      </c>
      <c r="AS27" s="90"/>
      <c r="AT27" s="119" t="e">
        <f t="shared" si="2"/>
        <v>#REF!</v>
      </c>
      <c r="AV27" s="197">
        <f t="shared" si="23"/>
        <v>17</v>
      </c>
      <c r="AW27" s="123">
        <f t="shared" si="24"/>
        <v>8104.7105199999996</v>
      </c>
      <c r="AX27" s="123">
        <f t="shared" si="25"/>
        <v>2026.1776599999998</v>
      </c>
      <c r="AY27" s="123">
        <f t="shared" si="26"/>
        <v>283.66487239999998</v>
      </c>
      <c r="AZ27" s="123">
        <f t="shared" si="27"/>
        <v>8987.510000000002</v>
      </c>
      <c r="BA27" s="162">
        <v>9187.25</v>
      </c>
      <c r="BB27" s="163">
        <f t="shared" si="28"/>
        <v>-199.73999999999796</v>
      </c>
      <c r="BD27" s="122">
        <f t="shared" si="29"/>
        <v>2</v>
      </c>
      <c r="BE27" s="123">
        <f t="shared" si="30"/>
        <v>728.61402999999996</v>
      </c>
      <c r="BF27" s="123">
        <f t="shared" si="31"/>
        <v>182.15351000000001</v>
      </c>
      <c r="BG27" s="123">
        <f t="shared" si="32"/>
        <v>25.501491399999999</v>
      </c>
      <c r="BH27" s="123">
        <f t="shared" si="33"/>
        <v>830.62</v>
      </c>
      <c r="BI27" s="162">
        <v>817.38</v>
      </c>
      <c r="BJ27" s="163">
        <f t="shared" si="7"/>
        <v>13.240000000000009</v>
      </c>
      <c r="BL27" s="124">
        <f t="shared" si="8"/>
        <v>0</v>
      </c>
      <c r="BM27" s="102">
        <f t="shared" si="9"/>
        <v>0</v>
      </c>
      <c r="BN27" s="102" t="e">
        <f>SUMIFS(#REF!,$C$8:$C$748,AF27,$B$8:$B$748,$T$11)</f>
        <v>#REF!</v>
      </c>
      <c r="BO27" s="102" t="e">
        <f>SUMIFS(#REF!,$C$8:$C$748,AF27,$B$8:$B$748,$T$11)</f>
        <v>#REF!</v>
      </c>
      <c r="BP27" s="102" t="e">
        <f>SUMIFS(#REF!,$C$8:$C$748,AF27,$B$8:$B$748,$T$11)</f>
        <v>#REF!</v>
      </c>
      <c r="BQ27" s="102" t="e">
        <f>SUMIFS(#REF!,$C$8:$C$748,AF27,$B$8:$B$748,$T$11)</f>
        <v>#REF!</v>
      </c>
      <c r="BR27" s="125" t="e">
        <f>SUMIFS(#REF!,$C$8:$C$748,AF27,$B$8:$B$748,$T$11)</f>
        <v>#REF!</v>
      </c>
      <c r="BS27" s="102" t="e">
        <f>SUMIFS(#REF!,$C$8:$C$748,AF27,$B$8:$B$748,$T$11)</f>
        <v>#REF!</v>
      </c>
      <c r="BT27" s="102" t="e">
        <f>SUMIFS(#REF!,$C$8:$C$748,AF27,$B$8:$B$748,$T$11)</f>
        <v>#REF!</v>
      </c>
      <c r="BU27" s="102" t="e">
        <f>SUMIFS(#REF!,$C$8:$C$748,AF27,$B$8:$B$748,$T$11)</f>
        <v>#REF!</v>
      </c>
      <c r="BV27" s="102" t="e">
        <f t="shared" si="34"/>
        <v>#REF!</v>
      </c>
      <c r="BW27" s="102">
        <v>0</v>
      </c>
      <c r="BX27" s="126" t="e">
        <f t="shared" si="10"/>
        <v>#REF!</v>
      </c>
      <c r="BZ27" s="122">
        <f t="shared" si="11"/>
        <v>16</v>
      </c>
      <c r="CA27" s="123">
        <f t="shared" si="12"/>
        <v>7930.0263199999999</v>
      </c>
      <c r="CB27" s="123">
        <f t="shared" si="35"/>
        <v>1982.5065999999999</v>
      </c>
      <c r="CC27" s="123">
        <f t="shared" si="36"/>
        <v>277.55092400000001</v>
      </c>
      <c r="CD27" s="123">
        <f t="shared" si="37"/>
        <v>8959.2899999999991</v>
      </c>
      <c r="CE27" s="162">
        <v>9160.69</v>
      </c>
      <c r="CF27" s="163">
        <f t="shared" si="13"/>
        <v>-201.40000000000146</v>
      </c>
      <c r="CH27" s="129">
        <f t="shared" si="14"/>
        <v>35</v>
      </c>
      <c r="CI27" s="123">
        <f t="shared" si="15"/>
        <v>16763.350869999998</v>
      </c>
      <c r="CJ27" s="123" t="e">
        <f t="shared" si="16"/>
        <v>#REF!</v>
      </c>
      <c r="CK27" s="123" t="e">
        <f t="shared" si="17"/>
        <v>#REF!</v>
      </c>
      <c r="CL27" s="123" t="e">
        <f>SUM(AL27,#REF!,BH27,BP27,CD27)</f>
        <v>#REF!</v>
      </c>
      <c r="CM27" s="123" t="e">
        <f>SUM(AM27,#REF!,#REF!,BQ27,#REF!)</f>
        <v>#REF!</v>
      </c>
      <c r="CN27" s="123" t="e">
        <f>SUM(AN27,#REF!,#REF!,BR27,#REF!)</f>
        <v>#REF!</v>
      </c>
      <c r="CO27" s="123" t="e">
        <f>SUM(AO27,#REF!,#REF!,BS27,#REF!)</f>
        <v>#REF!</v>
      </c>
      <c r="CP27" s="123" t="e">
        <f>SUM(AP27,#REF!,#REF!,BT27,#REF!)</f>
        <v>#REF!</v>
      </c>
      <c r="CQ27" s="123" t="e">
        <f>SUM(AQ27,#REF!,#REF!,BU27,#REF!)</f>
        <v>#REF!</v>
      </c>
      <c r="CR27" s="123" t="e">
        <f>SUM(AR27,AZ27,#REF!,BV27,#REF!)</f>
        <v>#REF!</v>
      </c>
      <c r="CS27" s="123">
        <f t="shared" si="18"/>
        <v>19165.32</v>
      </c>
      <c r="CT27" s="121" t="e">
        <f t="shared" si="38"/>
        <v>#REF!</v>
      </c>
    </row>
    <row r="28" spans="1:98" ht="15" customHeight="1" thickBot="1" x14ac:dyDescent="0.3">
      <c r="A28" s="105">
        <f>+IF(B28="","",SUBTOTAL(3,B$8:B28))</f>
        <v>21</v>
      </c>
      <c r="B28" s="106" t="str">
        <f>'Detailed Report'!O24</f>
        <v>Fuddruckers - New Maadi</v>
      </c>
      <c r="C28" s="107">
        <f>TRUNC('Detailed Report'!Q24,0)</f>
        <v>46023</v>
      </c>
      <c r="D28" s="108">
        <f>'Detailed Report'!P24</f>
        <v>3375869142</v>
      </c>
      <c r="E28" s="106" t="str">
        <f>'Detailed Report'!S24</f>
        <v>Successful</v>
      </c>
      <c r="F28" s="109">
        <f>IF(E28=$E$6,('Detailed Report'!Y24),IF(E28=$E$5,(0),0))</f>
        <v>939.7</v>
      </c>
      <c r="G28" s="106">
        <f>IF(E28=$E$6,('Detailed Report'!AQ24),IF(E28=$E$5,('Detailed Report'!AW24),0))</f>
        <v>824.29825000000005</v>
      </c>
      <c r="H28" s="106">
        <f>'Detailed Report'!AS24</f>
        <v>206.07455999999999</v>
      </c>
      <c r="I28" s="106">
        <f>'Detailed Report'!AT24</f>
        <v>28.850438400000002</v>
      </c>
      <c r="J28" s="106">
        <f>'Detailed Report'!AO24</f>
        <v>16.444749999999999</v>
      </c>
      <c r="K28" s="106">
        <f>'Detailed Report'!AP24</f>
        <v>2.3022649999999998</v>
      </c>
      <c r="L28" s="106">
        <f>'Detailed Report'!AU24/1.14</f>
        <v>26.307017543859651</v>
      </c>
      <c r="M28" s="106">
        <f>'Detailed Report'!AU24-L28</f>
        <v>3.6829824561403477</v>
      </c>
      <c r="N28" s="110">
        <f>'Detailed Report'!AW24</f>
        <v>656.03800000000001</v>
      </c>
      <c r="O28" s="111">
        <f t="shared" si="19"/>
        <v>168.26025000000004</v>
      </c>
      <c r="P28" s="110">
        <f>'Detailed Report'!AM24</f>
        <v>0</v>
      </c>
      <c r="Q28" s="110">
        <f>'Detailed Report'!AN24</f>
        <v>0</v>
      </c>
      <c r="R28" s="110">
        <f>'Detailed Report'!AU24/1.14</f>
        <v>26.307017543859651</v>
      </c>
      <c r="S28" s="110">
        <f>'Detailed Report'!AU24-'........... - Otlob'!R28</f>
        <v>3.6829824561403477</v>
      </c>
      <c r="AF28" s="127">
        <f t="shared" si="39"/>
        <v>46043</v>
      </c>
      <c r="AG28" s="116"/>
      <c r="AH28" s="117">
        <f t="shared" si="20"/>
        <v>0</v>
      </c>
      <c r="AI28" s="90">
        <f t="shared" si="21"/>
        <v>0</v>
      </c>
      <c r="AJ28" s="90" t="e">
        <f>SUMIFS(#REF!,$C$8:$C$748,AF28,$B$8:$B$748,$T$8)</f>
        <v>#REF!</v>
      </c>
      <c r="AK28" s="90" t="e">
        <f>SUMIFS(#REF!,$C$8:$C$748,AF28,$B$8:$B$748,$T$8)</f>
        <v>#REF!</v>
      </c>
      <c r="AL28" s="90" t="e">
        <f>SUMIFS(#REF!,$C$8:$C$748,AF28,$B$8:$B$748,$T$8)</f>
        <v>#REF!</v>
      </c>
      <c r="AM28" s="90" t="e">
        <f>SUMIFS(#REF!,$C$8:$C$748,AF28,$B$8:$B$748,$T$8)</f>
        <v>#REF!</v>
      </c>
      <c r="AN28" s="128" t="e">
        <f>SUMIFS(#REF!,$C$8:$C$748,AF28,$B$8:$B$748,$T$8)</f>
        <v>#REF!</v>
      </c>
      <c r="AO28" s="90" t="e">
        <f>SUMIFS(#REF!,$C$8:$C$748,AF28,$B$8:$B$748,$T$8)</f>
        <v>#REF!</v>
      </c>
      <c r="AP28" s="90" t="e">
        <f>SUMIFS(#REF!,$C$8:$C$748,AF28,$B$8:$B$748,$T$8)</f>
        <v>#REF!</v>
      </c>
      <c r="AQ28" s="90" t="e">
        <f>SUMIFS(#REF!,$C$8:$C$748,AF28,$B$8:$B$748,$T$8)</f>
        <v>#REF!</v>
      </c>
      <c r="AR28" s="90" t="e">
        <f t="shared" si="22"/>
        <v>#REF!</v>
      </c>
      <c r="AS28" s="90"/>
      <c r="AT28" s="119" t="e">
        <f t="shared" si="2"/>
        <v>#REF!</v>
      </c>
      <c r="AV28" s="197">
        <f t="shared" si="23"/>
        <v>17</v>
      </c>
      <c r="AW28" s="123">
        <f t="shared" si="24"/>
        <v>9464.3070100000023</v>
      </c>
      <c r="AX28" s="123">
        <f t="shared" si="25"/>
        <v>2366.0767799999994</v>
      </c>
      <c r="AY28" s="123">
        <f t="shared" si="26"/>
        <v>331.25074919999997</v>
      </c>
      <c r="AZ28" s="123">
        <f t="shared" si="27"/>
        <v>10789.31</v>
      </c>
      <c r="BA28" s="162">
        <v>10838.39</v>
      </c>
      <c r="BB28" s="163">
        <f t="shared" si="28"/>
        <v>-49.079999999999927</v>
      </c>
      <c r="BD28" s="122">
        <f t="shared" si="29"/>
        <v>5</v>
      </c>
      <c r="BE28" s="123">
        <f t="shared" si="30"/>
        <v>1622.65789</v>
      </c>
      <c r="BF28" s="123">
        <f t="shared" si="31"/>
        <v>405.66446999999999</v>
      </c>
      <c r="BG28" s="123">
        <f t="shared" si="32"/>
        <v>56.793025799999995</v>
      </c>
      <c r="BH28" s="123">
        <f t="shared" si="33"/>
        <v>1849.83</v>
      </c>
      <c r="BI28" s="162">
        <v>1826.27</v>
      </c>
      <c r="BJ28" s="163">
        <f t="shared" si="7"/>
        <v>23.559999999999945</v>
      </c>
      <c r="BL28" s="124">
        <f t="shared" si="8"/>
        <v>0</v>
      </c>
      <c r="BM28" s="102">
        <f t="shared" si="9"/>
        <v>0</v>
      </c>
      <c r="BN28" s="102" t="e">
        <f>SUMIFS(#REF!,$C$8:$C$748,AF28,$B$8:$B$748,$T$11)</f>
        <v>#REF!</v>
      </c>
      <c r="BO28" s="102" t="e">
        <f>SUMIFS(#REF!,$C$8:$C$748,AF28,$B$8:$B$748,$T$11)</f>
        <v>#REF!</v>
      </c>
      <c r="BP28" s="102" t="e">
        <f>SUMIFS(#REF!,$C$8:$C$748,AF28,$B$8:$B$748,$T$11)</f>
        <v>#REF!</v>
      </c>
      <c r="BQ28" s="102" t="e">
        <f>SUMIFS(#REF!,$C$8:$C$748,AF28,$B$8:$B$748,$T$11)</f>
        <v>#REF!</v>
      </c>
      <c r="BR28" s="125" t="e">
        <f>SUMIFS(#REF!,$C$8:$C$748,AF28,$B$8:$B$748,$T$11)</f>
        <v>#REF!</v>
      </c>
      <c r="BS28" s="102" t="e">
        <f>SUMIFS(#REF!,$C$8:$C$748,AF28,$B$8:$B$748,$T$11)</f>
        <v>#REF!</v>
      </c>
      <c r="BT28" s="102" t="e">
        <f>SUMIFS(#REF!,$C$8:$C$748,AF28,$B$8:$B$748,$T$11)</f>
        <v>#REF!</v>
      </c>
      <c r="BU28" s="102" t="e">
        <f>SUMIFS(#REF!,$C$8:$C$748,AF28,$B$8:$B$748,$T$11)</f>
        <v>#REF!</v>
      </c>
      <c r="BV28" s="102" t="e">
        <f t="shared" si="34"/>
        <v>#REF!</v>
      </c>
      <c r="BW28" s="102">
        <v>0</v>
      </c>
      <c r="BX28" s="126" t="e">
        <f t="shared" si="10"/>
        <v>#REF!</v>
      </c>
      <c r="BZ28" s="122">
        <f t="shared" si="11"/>
        <v>8</v>
      </c>
      <c r="CA28" s="123">
        <f t="shared" si="12"/>
        <v>3706.8859699999994</v>
      </c>
      <c r="CB28" s="123">
        <f t="shared" si="35"/>
        <v>926.72150000000011</v>
      </c>
      <c r="CC28" s="123">
        <f t="shared" si="36"/>
        <v>129.74100999999999</v>
      </c>
      <c r="CD28" s="123">
        <f t="shared" si="37"/>
        <v>4225.8499999999995</v>
      </c>
      <c r="CE28" s="162">
        <v>4233.57</v>
      </c>
      <c r="CF28" s="163">
        <f t="shared" si="13"/>
        <v>-7.7200000000002547</v>
      </c>
      <c r="CH28" s="129">
        <f t="shared" si="14"/>
        <v>30</v>
      </c>
      <c r="CI28" s="123">
        <f t="shared" si="15"/>
        <v>14793.850870000002</v>
      </c>
      <c r="CJ28" s="123" t="e">
        <f t="shared" si="16"/>
        <v>#REF!</v>
      </c>
      <c r="CK28" s="123" t="e">
        <f t="shared" si="17"/>
        <v>#REF!</v>
      </c>
      <c r="CL28" s="123" t="e">
        <f>SUM(AL28,#REF!,BH28,BP28,CD28)</f>
        <v>#REF!</v>
      </c>
      <c r="CM28" s="123" t="e">
        <f>SUM(AM28,#REF!,#REF!,BQ28,#REF!)</f>
        <v>#REF!</v>
      </c>
      <c r="CN28" s="123" t="e">
        <f>SUM(AN28,#REF!,#REF!,BR28,#REF!)</f>
        <v>#REF!</v>
      </c>
      <c r="CO28" s="123" t="e">
        <f>SUM(AO28,#REF!,#REF!,BS28,#REF!)</f>
        <v>#REF!</v>
      </c>
      <c r="CP28" s="123" t="e">
        <f>SUM(AP28,#REF!,#REF!,BT28,#REF!)</f>
        <v>#REF!</v>
      </c>
      <c r="CQ28" s="123" t="e">
        <f>SUM(AQ28,#REF!,#REF!,BU28,#REF!)</f>
        <v>#REF!</v>
      </c>
      <c r="CR28" s="123" t="e">
        <f>SUM(AR28,AZ28,#REF!,BV28,#REF!)</f>
        <v>#REF!</v>
      </c>
      <c r="CS28" s="123">
        <f t="shared" si="18"/>
        <v>16898.23</v>
      </c>
      <c r="CT28" s="121" t="e">
        <f t="shared" si="38"/>
        <v>#REF!</v>
      </c>
    </row>
    <row r="29" spans="1:98" ht="15" customHeight="1" thickBot="1" x14ac:dyDescent="0.3">
      <c r="A29" s="105">
        <f>+IF(B29="","",SUBTOTAL(3,B$8:B29))</f>
        <v>22</v>
      </c>
      <c r="B29" s="106" t="str">
        <f>'Detailed Report'!O25</f>
        <v>Fuddruckers - City Stars</v>
      </c>
      <c r="C29" s="107">
        <f>TRUNC('Detailed Report'!Q25,0)</f>
        <v>46023</v>
      </c>
      <c r="D29" s="108">
        <f>'Detailed Report'!P25</f>
        <v>3375876058</v>
      </c>
      <c r="E29" s="106" t="str">
        <f>'Detailed Report'!S25</f>
        <v>Successful</v>
      </c>
      <c r="F29" s="109">
        <f>IF(E29=$E$6,('Detailed Report'!Y25),IF(E29=$E$5,(0),0))</f>
        <v>352.99</v>
      </c>
      <c r="G29" s="106">
        <f>IF(E29=$E$6,('Detailed Report'!AQ25),IF(E29=$E$5,('Detailed Report'!AW25),0))</f>
        <v>309.64035000000001</v>
      </c>
      <c r="H29" s="106">
        <f>'Detailed Report'!AS25</f>
        <v>77.410089999999997</v>
      </c>
      <c r="I29" s="106">
        <f>'Detailed Report'!AT25</f>
        <v>10.8374126</v>
      </c>
      <c r="J29" s="106">
        <f>'Detailed Report'!AO25</f>
        <v>6.1773249999999997</v>
      </c>
      <c r="K29" s="106">
        <f>'Detailed Report'!AP25</f>
        <v>0.86482550000000002</v>
      </c>
      <c r="L29" s="106">
        <f>'Detailed Report'!AU25/1.14</f>
        <v>25.42982456140351</v>
      </c>
      <c r="M29" s="106">
        <f>'Detailed Report'!AU25-L29</f>
        <v>3.5601754385964881</v>
      </c>
      <c r="N29" s="110">
        <f>'Detailed Report'!AW25</f>
        <v>228.71</v>
      </c>
      <c r="O29" s="111">
        <f t="shared" si="19"/>
        <v>80.930350000000004</v>
      </c>
      <c r="P29" s="110">
        <f>'Detailed Report'!AM25</f>
        <v>0</v>
      </c>
      <c r="Q29" s="110">
        <f>'Detailed Report'!AN25</f>
        <v>0</v>
      </c>
      <c r="R29" s="110">
        <f>'Detailed Report'!AU25/1.14</f>
        <v>25.42982456140351</v>
      </c>
      <c r="S29" s="110">
        <f>'Detailed Report'!AU25-'........... - Otlob'!R29</f>
        <v>3.5601754385964881</v>
      </c>
      <c r="AF29" s="127">
        <f t="shared" si="39"/>
        <v>46044</v>
      </c>
      <c r="AG29" s="116"/>
      <c r="AH29" s="117">
        <f t="shared" si="20"/>
        <v>0</v>
      </c>
      <c r="AI29" s="90">
        <f t="shared" si="21"/>
        <v>0</v>
      </c>
      <c r="AJ29" s="90" t="e">
        <f>SUMIFS(#REF!,$C$8:$C$748,AF29,$B$8:$B$748,$T$8)</f>
        <v>#REF!</v>
      </c>
      <c r="AK29" s="90" t="e">
        <f>SUMIFS(#REF!,$C$8:$C$748,AF29,$B$8:$B$748,$T$8)</f>
        <v>#REF!</v>
      </c>
      <c r="AL29" s="90" t="e">
        <f>SUMIFS(#REF!,$C$8:$C$748,AF29,$B$8:$B$748,$T$8)</f>
        <v>#REF!</v>
      </c>
      <c r="AM29" s="90" t="e">
        <f>SUMIFS(#REF!,$C$8:$C$748,AF29,$B$8:$B$748,$T$8)</f>
        <v>#REF!</v>
      </c>
      <c r="AN29" s="128" t="e">
        <f>SUMIFS(#REF!,$C$8:$C$748,AF29,$B$8:$B$748,$T$8)</f>
        <v>#REF!</v>
      </c>
      <c r="AO29" s="90" t="e">
        <f>SUMIFS(#REF!,$C$8:$C$748,AF29,$B$8:$B$748,$T$8)</f>
        <v>#REF!</v>
      </c>
      <c r="AP29" s="90" t="e">
        <f>SUMIFS(#REF!,$C$8:$C$748,AF29,$B$8:$B$748,$T$8)</f>
        <v>#REF!</v>
      </c>
      <c r="AQ29" s="90" t="e">
        <f>SUMIFS(#REF!,$C$8:$C$748,AF29,$B$8:$B$748,$T$8)</f>
        <v>#REF!</v>
      </c>
      <c r="AR29" s="90" t="e">
        <f t="shared" si="22"/>
        <v>#REF!</v>
      </c>
      <c r="AS29" s="90"/>
      <c r="AT29" s="119" t="e">
        <f t="shared" si="2"/>
        <v>#REF!</v>
      </c>
      <c r="AV29" s="197">
        <f t="shared" si="23"/>
        <v>9</v>
      </c>
      <c r="AW29" s="123">
        <f t="shared" si="24"/>
        <v>7282.4648999999999</v>
      </c>
      <c r="AX29" s="123">
        <f t="shared" si="25"/>
        <v>1820.6162499999998</v>
      </c>
      <c r="AY29" s="123">
        <f t="shared" si="26"/>
        <v>254.88627500000001</v>
      </c>
      <c r="AZ29" s="123">
        <f t="shared" si="27"/>
        <v>8242.0199999999986</v>
      </c>
      <c r="BA29" s="162">
        <v>8538.6</v>
      </c>
      <c r="BB29" s="163">
        <f t="shared" si="28"/>
        <v>-296.58000000000175</v>
      </c>
      <c r="BD29" s="122">
        <f t="shared" si="29"/>
        <v>4</v>
      </c>
      <c r="BE29" s="123">
        <f t="shared" si="30"/>
        <v>1277.1666599999999</v>
      </c>
      <c r="BF29" s="123">
        <f t="shared" si="31"/>
        <v>319.29165999999998</v>
      </c>
      <c r="BG29" s="123">
        <f t="shared" si="32"/>
        <v>44.700832400000003</v>
      </c>
      <c r="BH29" s="123">
        <f t="shared" si="33"/>
        <v>1455.97</v>
      </c>
      <c r="BI29" s="162">
        <v>1435.26</v>
      </c>
      <c r="BJ29" s="163">
        <f t="shared" si="7"/>
        <v>20.710000000000036</v>
      </c>
      <c r="BL29" s="124">
        <f t="shared" si="8"/>
        <v>0</v>
      </c>
      <c r="BM29" s="102">
        <f t="shared" si="9"/>
        <v>0</v>
      </c>
      <c r="BN29" s="102" t="e">
        <f>SUMIFS(#REF!,$C$8:$C$748,AF29,$B$8:$B$748,$T$11)</f>
        <v>#REF!</v>
      </c>
      <c r="BO29" s="102" t="e">
        <f>SUMIFS(#REF!,$C$8:$C$748,AF29,$B$8:$B$748,$T$11)</f>
        <v>#REF!</v>
      </c>
      <c r="BP29" s="102" t="e">
        <f>SUMIFS(#REF!,$C$8:$C$748,AF29,$B$8:$B$748,$T$11)</f>
        <v>#REF!</v>
      </c>
      <c r="BQ29" s="102" t="e">
        <f>SUMIFS(#REF!,$C$8:$C$748,AF29,$B$8:$B$748,$T$11)</f>
        <v>#REF!</v>
      </c>
      <c r="BR29" s="125" t="e">
        <f>SUMIFS(#REF!,$C$8:$C$748,AF29,$B$8:$B$748,$T$11)</f>
        <v>#REF!</v>
      </c>
      <c r="BS29" s="102" t="e">
        <f>SUMIFS(#REF!,$C$8:$C$748,AF29,$B$8:$B$748,$T$11)</f>
        <v>#REF!</v>
      </c>
      <c r="BT29" s="102" t="e">
        <f>SUMIFS(#REF!,$C$8:$C$748,AF29,$B$8:$B$748,$T$11)</f>
        <v>#REF!</v>
      </c>
      <c r="BU29" s="102" t="e">
        <f>SUMIFS(#REF!,$C$8:$C$748,AF29,$B$8:$B$748,$T$11)</f>
        <v>#REF!</v>
      </c>
      <c r="BV29" s="102" t="e">
        <f t="shared" si="34"/>
        <v>#REF!</v>
      </c>
      <c r="BW29" s="102">
        <v>0</v>
      </c>
      <c r="BX29" s="126" t="e">
        <f t="shared" si="10"/>
        <v>#REF!</v>
      </c>
      <c r="BZ29" s="122">
        <f t="shared" si="11"/>
        <v>19</v>
      </c>
      <c r="CA29" s="123">
        <f t="shared" si="12"/>
        <v>14776.64912</v>
      </c>
      <c r="CB29" s="123">
        <f t="shared" si="35"/>
        <v>3932.0000200000004</v>
      </c>
      <c r="CC29" s="123">
        <f t="shared" si="36"/>
        <v>550.48000280000008</v>
      </c>
      <c r="CD29" s="123">
        <f t="shared" si="37"/>
        <v>17085.920000000002</v>
      </c>
      <c r="CE29" s="162">
        <v>16908.47</v>
      </c>
      <c r="CF29" s="163">
        <f t="shared" si="13"/>
        <v>177.45000000000073</v>
      </c>
      <c r="CH29" s="134">
        <f t="shared" si="14"/>
        <v>32</v>
      </c>
      <c r="CI29" s="123">
        <f t="shared" si="15"/>
        <v>23336.28068</v>
      </c>
      <c r="CJ29" s="123" t="e">
        <f t="shared" si="16"/>
        <v>#REF!</v>
      </c>
      <c r="CK29" s="123" t="e">
        <f t="shared" si="17"/>
        <v>#REF!</v>
      </c>
      <c r="CL29" s="123" t="e">
        <f>SUM(AL29,#REF!,BH29,BP29,CD29)</f>
        <v>#REF!</v>
      </c>
      <c r="CM29" s="123" t="e">
        <f>SUM(AM29,#REF!,#REF!,BQ29,#REF!)</f>
        <v>#REF!</v>
      </c>
      <c r="CN29" s="123" t="e">
        <f>SUM(AN29,#REF!,#REF!,BR29,#REF!)</f>
        <v>#REF!</v>
      </c>
      <c r="CO29" s="123" t="e">
        <f>SUM(AO29,#REF!,#REF!,BS29,#REF!)</f>
        <v>#REF!</v>
      </c>
      <c r="CP29" s="123" t="e">
        <f>SUM(AP29,#REF!,#REF!,BT29,#REF!)</f>
        <v>#REF!</v>
      </c>
      <c r="CQ29" s="123" t="e">
        <f>SUM(AQ29,#REF!,#REF!,BU29,#REF!)</f>
        <v>#REF!</v>
      </c>
      <c r="CR29" s="123" t="e">
        <f>SUM(AR29,AZ29,#REF!,BV29,#REF!)</f>
        <v>#REF!</v>
      </c>
      <c r="CS29" s="123">
        <f t="shared" si="18"/>
        <v>26882.33</v>
      </c>
      <c r="CT29" s="121" t="e">
        <f t="shared" si="38"/>
        <v>#REF!</v>
      </c>
    </row>
    <row r="30" spans="1:98" ht="15" customHeight="1" thickBot="1" x14ac:dyDescent="0.3">
      <c r="A30" s="105">
        <f>+IF(B30="","",SUBTOTAL(3,B$8:B30))</f>
        <v>23</v>
      </c>
      <c r="B30" s="106" t="str">
        <f>'Detailed Report'!O26</f>
        <v>Fuddruckers - City Stars</v>
      </c>
      <c r="C30" s="107">
        <f>TRUNC('Detailed Report'!Q26,0)</f>
        <v>46023</v>
      </c>
      <c r="D30" s="108">
        <f>'Detailed Report'!P26</f>
        <v>3375907875</v>
      </c>
      <c r="E30" s="106" t="str">
        <f>'Detailed Report'!S26</f>
        <v>Successful</v>
      </c>
      <c r="F30" s="109">
        <f>IF(E30=$E$6,('Detailed Report'!Y26),IF(E30=$E$5,(0),0))</f>
        <v>554.99</v>
      </c>
      <c r="G30" s="106">
        <f>IF(E30=$E$6,('Detailed Report'!AQ26),IF(E30=$E$5,('Detailed Report'!AW26),0))</f>
        <v>486.83332999999999</v>
      </c>
      <c r="H30" s="106">
        <f>'Detailed Report'!AS26</f>
        <v>121.70833</v>
      </c>
      <c r="I30" s="106">
        <f>'Detailed Report'!AT26</f>
        <v>17.0391662</v>
      </c>
      <c r="J30" s="106">
        <f>'Detailed Report'!AO26</f>
        <v>9.7123249999999999</v>
      </c>
      <c r="K30" s="106">
        <f>'Detailed Report'!AP26</f>
        <v>1.3597254999999999</v>
      </c>
      <c r="L30" s="106">
        <f>'Detailed Report'!AU26/1.14</f>
        <v>23.67543859649123</v>
      </c>
      <c r="M30" s="106">
        <f>'Detailed Report'!AU26-L30</f>
        <v>3.3145614035087689</v>
      </c>
      <c r="N30" s="110">
        <f>'Detailed Report'!AW26</f>
        <v>343.98</v>
      </c>
      <c r="O30" s="111">
        <f t="shared" si="19"/>
        <v>142.85332999999997</v>
      </c>
      <c r="P30" s="110">
        <f>'Detailed Report'!AM26</f>
        <v>30</v>
      </c>
      <c r="Q30" s="110">
        <f>'Detailed Report'!AN26</f>
        <v>4.2</v>
      </c>
      <c r="R30" s="110">
        <f>'Detailed Report'!AU26/1.14</f>
        <v>23.67543859649123</v>
      </c>
      <c r="S30" s="110">
        <f>'Detailed Report'!AU26-'........... - Otlob'!R30</f>
        <v>3.3145614035087689</v>
      </c>
      <c r="AF30" s="127">
        <f t="shared" si="39"/>
        <v>46045</v>
      </c>
      <c r="AG30" s="116"/>
      <c r="AH30" s="117">
        <f t="shared" si="20"/>
        <v>0</v>
      </c>
      <c r="AI30" s="90">
        <f t="shared" si="21"/>
        <v>0</v>
      </c>
      <c r="AJ30" s="90" t="e">
        <f>SUMIFS(#REF!,$C$8:$C$748,AF30,$B$8:$B$748,$T$8)</f>
        <v>#REF!</v>
      </c>
      <c r="AK30" s="90" t="e">
        <f>SUMIFS(#REF!,$C$8:$C$748,AF30,$B$8:$B$748,$T$8)</f>
        <v>#REF!</v>
      </c>
      <c r="AL30" s="90" t="e">
        <f>SUMIFS(#REF!,$C$8:$C$748,AF30,$B$8:$B$748,$T$8)</f>
        <v>#REF!</v>
      </c>
      <c r="AM30" s="90" t="e">
        <f>SUMIFS(#REF!,$C$8:$C$748,AF30,$B$8:$B$748,$T$8)</f>
        <v>#REF!</v>
      </c>
      <c r="AN30" s="128" t="e">
        <f>SUMIFS(#REF!,$C$8:$C$748,AF30,$B$8:$B$748,$T$8)</f>
        <v>#REF!</v>
      </c>
      <c r="AO30" s="90" t="e">
        <f>SUMIFS(#REF!,$C$8:$C$748,AF30,$B$8:$B$748,$T$8)</f>
        <v>#REF!</v>
      </c>
      <c r="AP30" s="90" t="e">
        <f>SUMIFS(#REF!,$C$8:$C$748,AF30,$B$8:$B$748,$T$8)</f>
        <v>#REF!</v>
      </c>
      <c r="AQ30" s="90" t="e">
        <f>SUMIFS(#REF!,$C$8:$C$748,AF30,$B$8:$B$748,$T$8)</f>
        <v>#REF!</v>
      </c>
      <c r="AR30" s="90" t="e">
        <f t="shared" si="22"/>
        <v>#REF!</v>
      </c>
      <c r="AS30" s="90"/>
      <c r="AT30" s="119" t="e">
        <f t="shared" si="2"/>
        <v>#REF!</v>
      </c>
      <c r="AV30" s="197">
        <f t="shared" si="23"/>
        <v>11</v>
      </c>
      <c r="AW30" s="123">
        <f t="shared" si="24"/>
        <v>5651.4824499999995</v>
      </c>
      <c r="AX30" s="123">
        <f t="shared" si="25"/>
        <v>1412.8706300000003</v>
      </c>
      <c r="AY30" s="123">
        <f t="shared" si="26"/>
        <v>197.80188820000001</v>
      </c>
      <c r="AZ30" s="123">
        <f t="shared" si="27"/>
        <v>6442.6899999999987</v>
      </c>
      <c r="BA30" s="162">
        <v>6321.29</v>
      </c>
      <c r="BB30" s="163">
        <f t="shared" si="28"/>
        <v>121.39999999999873</v>
      </c>
      <c r="BD30" s="122">
        <f t="shared" si="29"/>
        <v>5</v>
      </c>
      <c r="BE30" s="123">
        <f t="shared" si="30"/>
        <v>2221.7280600000004</v>
      </c>
      <c r="BF30" s="123">
        <f t="shared" si="31"/>
        <v>555.43201999999997</v>
      </c>
      <c r="BG30" s="123">
        <f t="shared" si="32"/>
        <v>77.760482800000005</v>
      </c>
      <c r="BH30" s="123">
        <f t="shared" si="33"/>
        <v>2532.77</v>
      </c>
      <c r="BI30" s="162">
        <v>2514.84</v>
      </c>
      <c r="BJ30" s="163">
        <f t="shared" si="7"/>
        <v>17.929999999999836</v>
      </c>
      <c r="BL30" s="124">
        <f t="shared" si="8"/>
        <v>0</v>
      </c>
      <c r="BM30" s="102">
        <f t="shared" si="9"/>
        <v>0</v>
      </c>
      <c r="BN30" s="102" t="e">
        <f>SUMIFS(#REF!,$C$8:$C$748,AF30,$B$8:$B$748,$T$11)</f>
        <v>#REF!</v>
      </c>
      <c r="BO30" s="102" t="e">
        <f>SUMIFS(#REF!,$C$8:$C$748,AF30,$B$8:$B$748,$T$11)</f>
        <v>#REF!</v>
      </c>
      <c r="BP30" s="102" t="e">
        <f>SUMIFS(#REF!,$C$8:$C$748,AF30,$B$8:$B$748,$T$11)</f>
        <v>#REF!</v>
      </c>
      <c r="BQ30" s="102" t="e">
        <f>SUMIFS(#REF!,$C$8:$C$748,AF30,$B$8:$B$748,$T$11)</f>
        <v>#REF!</v>
      </c>
      <c r="BR30" s="125" t="e">
        <f>SUMIFS(#REF!,$C$8:$C$748,AF30,$B$8:$B$748,$T$11)</f>
        <v>#REF!</v>
      </c>
      <c r="BS30" s="102" t="e">
        <f>SUMIFS(#REF!,$C$8:$C$748,AF30,$B$8:$B$748,$T$11)</f>
        <v>#REF!</v>
      </c>
      <c r="BT30" s="102" t="e">
        <f>SUMIFS(#REF!,$C$8:$C$748,AF30,$B$8:$B$748,$T$11)</f>
        <v>#REF!</v>
      </c>
      <c r="BU30" s="102" t="e">
        <f>SUMIFS(#REF!,$C$8:$C$748,AF30,$B$8:$B$748,$T$11)</f>
        <v>#REF!</v>
      </c>
      <c r="BV30" s="102" t="e">
        <f t="shared" si="34"/>
        <v>#REF!</v>
      </c>
      <c r="BW30" s="102">
        <v>0</v>
      </c>
      <c r="BX30" s="126" t="e">
        <f t="shared" si="10"/>
        <v>#REF!</v>
      </c>
      <c r="BZ30" s="122">
        <f t="shared" si="11"/>
        <v>19</v>
      </c>
      <c r="CA30" s="123">
        <f t="shared" si="12"/>
        <v>14123.859640000001</v>
      </c>
      <c r="CB30" s="123">
        <f t="shared" si="35"/>
        <v>3530.9649300000001</v>
      </c>
      <c r="CC30" s="123">
        <f t="shared" si="36"/>
        <v>494.33509019999997</v>
      </c>
      <c r="CD30" s="123">
        <f t="shared" si="37"/>
        <v>16101.199999999997</v>
      </c>
      <c r="CE30" s="162">
        <v>16014.7</v>
      </c>
      <c r="CF30" s="163">
        <f t="shared" si="13"/>
        <v>86.499999999996362</v>
      </c>
      <c r="CH30" s="129">
        <f t="shared" si="14"/>
        <v>35</v>
      </c>
      <c r="CI30" s="123">
        <f t="shared" si="15"/>
        <v>21997.07015</v>
      </c>
      <c r="CJ30" s="123" t="e">
        <f t="shared" si="16"/>
        <v>#REF!</v>
      </c>
      <c r="CK30" s="123" t="e">
        <f t="shared" si="17"/>
        <v>#REF!</v>
      </c>
      <c r="CL30" s="123" t="e">
        <f>SUM(AL30,#REF!,BH30,BP30,CD30)</f>
        <v>#REF!</v>
      </c>
      <c r="CM30" s="123" t="e">
        <f>SUM(AM30,#REF!,#REF!,BQ30,#REF!)</f>
        <v>#REF!</v>
      </c>
      <c r="CN30" s="123" t="e">
        <f>SUM(AN30,#REF!,#REF!,BR30,#REF!)</f>
        <v>#REF!</v>
      </c>
      <c r="CO30" s="123" t="e">
        <f>SUM(AO30,#REF!,#REF!,BS30,#REF!)</f>
        <v>#REF!</v>
      </c>
      <c r="CP30" s="123" t="e">
        <f>SUM(AP30,#REF!,#REF!,BT30,#REF!)</f>
        <v>#REF!</v>
      </c>
      <c r="CQ30" s="123" t="e">
        <f>SUM(AQ30,#REF!,#REF!,BU30,#REF!)</f>
        <v>#REF!</v>
      </c>
      <c r="CR30" s="123" t="e">
        <f>SUM(AR30,AZ30,#REF!,BV30,#REF!)</f>
        <v>#REF!</v>
      </c>
      <c r="CS30" s="123">
        <f t="shared" si="18"/>
        <v>24850.83</v>
      </c>
      <c r="CT30" s="121" t="e">
        <f t="shared" si="38"/>
        <v>#REF!</v>
      </c>
    </row>
    <row r="31" spans="1:98" ht="15" customHeight="1" thickBot="1" x14ac:dyDescent="0.3">
      <c r="A31" s="105">
        <f>+IF(B31="","",SUBTOTAL(3,B$8:B31))</f>
        <v>24</v>
      </c>
      <c r="B31" s="106" t="str">
        <f>'Detailed Report'!O27</f>
        <v>Fuddruckers - Concord Plaza Mall</v>
      </c>
      <c r="C31" s="107">
        <f>TRUNC('Detailed Report'!Q27,0)</f>
        <v>46023</v>
      </c>
      <c r="D31" s="108">
        <f>'Detailed Report'!P27</f>
        <v>3375908429</v>
      </c>
      <c r="E31" s="106" t="str">
        <f>'Detailed Report'!S27</f>
        <v>Successful</v>
      </c>
      <c r="F31" s="109">
        <f>IF(E31=$E$6,('Detailed Report'!Y27),IF(E31=$E$5,(0),0))</f>
        <v>639.98</v>
      </c>
      <c r="G31" s="106">
        <f>IF(E31=$E$6,('Detailed Report'!AQ27),IF(E31=$E$5,('Detailed Report'!AW27),0))</f>
        <v>561.38595999999995</v>
      </c>
      <c r="H31" s="106">
        <f>'Detailed Report'!AS27</f>
        <v>140.34648999999999</v>
      </c>
      <c r="I31" s="106">
        <f>'Detailed Report'!AT27</f>
        <v>19.6485086</v>
      </c>
      <c r="J31" s="106">
        <f>'Detailed Report'!AO27</f>
        <v>11.19965</v>
      </c>
      <c r="K31" s="106">
        <f>'Detailed Report'!AP27</f>
        <v>1.5679510000000001</v>
      </c>
      <c r="L31" s="106">
        <f>'Detailed Report'!AU27/1.14</f>
        <v>30.692982456140356</v>
      </c>
      <c r="M31" s="106">
        <f>'Detailed Report'!AU27-L31</f>
        <v>4.2970175438596456</v>
      </c>
      <c r="N31" s="110">
        <f>'Detailed Report'!AW27</f>
        <v>432.22699999999998</v>
      </c>
      <c r="O31" s="111">
        <f t="shared" si="19"/>
        <v>129.15895999999998</v>
      </c>
      <c r="P31" s="110">
        <f>'Detailed Report'!AM27</f>
        <v>0</v>
      </c>
      <c r="Q31" s="110">
        <f>'Detailed Report'!AN27</f>
        <v>0</v>
      </c>
      <c r="R31" s="110">
        <f>'Detailed Report'!AU27/1.14</f>
        <v>30.692982456140356</v>
      </c>
      <c r="S31" s="110">
        <f>'Detailed Report'!AU27-'........... - Otlob'!R31</f>
        <v>4.2970175438596456</v>
      </c>
      <c r="AF31" s="127">
        <f t="shared" si="39"/>
        <v>46046</v>
      </c>
      <c r="AG31" s="116"/>
      <c r="AH31" s="117">
        <f t="shared" si="20"/>
        <v>0</v>
      </c>
      <c r="AI31" s="90">
        <f t="shared" si="21"/>
        <v>0</v>
      </c>
      <c r="AJ31" s="90" t="e">
        <f>SUMIFS(#REF!,$C$8:$C$748,AF31,$B$8:$B$748,$T$8)</f>
        <v>#REF!</v>
      </c>
      <c r="AK31" s="90" t="e">
        <f>SUMIFS(#REF!,$C$8:$C$748,AF31,$B$8:$B$748,$T$8)</f>
        <v>#REF!</v>
      </c>
      <c r="AL31" s="90" t="e">
        <f>SUMIFS(#REF!,$C$8:$C$748,AF31,$B$8:$B$748,$T$8)</f>
        <v>#REF!</v>
      </c>
      <c r="AM31" s="90" t="e">
        <f>SUMIFS(#REF!,$C$8:$C$748,AF31,$B$8:$B$748,$T$8)</f>
        <v>#REF!</v>
      </c>
      <c r="AN31" s="128" t="e">
        <f>SUMIFS(#REF!,$C$8:$C$748,AF31,$B$8:$B$748,$T$8)</f>
        <v>#REF!</v>
      </c>
      <c r="AO31" s="90" t="e">
        <f>SUMIFS(#REF!,$C$8:$C$748,AF31,$B$8:$B$748,$T$8)</f>
        <v>#REF!</v>
      </c>
      <c r="AP31" s="90" t="e">
        <f>SUMIFS(#REF!,$C$8:$C$748,AF31,$B$8:$B$748,$T$8)</f>
        <v>#REF!</v>
      </c>
      <c r="AQ31" s="90" t="e">
        <f>SUMIFS(#REF!,$C$8:$C$748,AF31,$B$8:$B$748,$T$8)</f>
        <v>#REF!</v>
      </c>
      <c r="AR31" s="90" t="e">
        <f t="shared" si="22"/>
        <v>#REF!</v>
      </c>
      <c r="AS31" s="90"/>
      <c r="AT31" s="119" t="e">
        <f t="shared" si="2"/>
        <v>#REF!</v>
      </c>
      <c r="AV31" s="197">
        <f t="shared" si="23"/>
        <v>8</v>
      </c>
      <c r="AW31" s="123">
        <f t="shared" si="24"/>
        <v>4002.6403599999999</v>
      </c>
      <c r="AX31" s="123">
        <f t="shared" si="25"/>
        <v>1000.6601000000001</v>
      </c>
      <c r="AY31" s="123">
        <f t="shared" si="26"/>
        <v>140.09241399999999</v>
      </c>
      <c r="AZ31" s="123">
        <f t="shared" si="27"/>
        <v>4563.01</v>
      </c>
      <c r="BA31" s="162">
        <v>4528.03</v>
      </c>
      <c r="BB31" s="163">
        <f t="shared" si="28"/>
        <v>34.980000000000473</v>
      </c>
      <c r="BD31" s="122">
        <f t="shared" si="29"/>
        <v>4</v>
      </c>
      <c r="BE31" s="123">
        <f t="shared" si="30"/>
        <v>1652.3245600000002</v>
      </c>
      <c r="BF31" s="123">
        <f t="shared" si="31"/>
        <v>413.08114</v>
      </c>
      <c r="BG31" s="123">
        <f t="shared" si="32"/>
        <v>57.831359599999999</v>
      </c>
      <c r="BH31" s="123">
        <f t="shared" si="33"/>
        <v>1883.65</v>
      </c>
      <c r="BI31" s="162">
        <v>1854.78</v>
      </c>
      <c r="BJ31" s="163">
        <f t="shared" si="7"/>
        <v>28.870000000000118</v>
      </c>
      <c r="BL31" s="124">
        <f t="shared" si="8"/>
        <v>0</v>
      </c>
      <c r="BM31" s="102">
        <f t="shared" si="9"/>
        <v>0</v>
      </c>
      <c r="BN31" s="102" t="e">
        <f>SUMIFS(#REF!,$C$8:$C$748,AF31,$B$8:$B$748,$T$11)</f>
        <v>#REF!</v>
      </c>
      <c r="BO31" s="102" t="e">
        <f>SUMIFS(#REF!,$C$8:$C$748,AF31,$B$8:$B$748,$T$11)</f>
        <v>#REF!</v>
      </c>
      <c r="BP31" s="102" t="e">
        <f>SUMIFS(#REF!,$C$8:$C$748,AF31,$B$8:$B$748,$T$11)</f>
        <v>#REF!</v>
      </c>
      <c r="BQ31" s="102" t="e">
        <f>SUMIFS(#REF!,$C$8:$C$748,AF31,$B$8:$B$748,$T$11)</f>
        <v>#REF!</v>
      </c>
      <c r="BR31" s="125" t="e">
        <f>SUMIFS(#REF!,$C$8:$C$748,AF31,$B$8:$B$748,$T$11)</f>
        <v>#REF!</v>
      </c>
      <c r="BS31" s="102" t="e">
        <f>SUMIFS(#REF!,$C$8:$C$748,AF31,$B$8:$B$748,$T$11)</f>
        <v>#REF!</v>
      </c>
      <c r="BT31" s="102" t="e">
        <f>SUMIFS(#REF!,$C$8:$C$748,AF31,$B$8:$B$748,$T$11)</f>
        <v>#REF!</v>
      </c>
      <c r="BU31" s="102" t="e">
        <f>SUMIFS(#REF!,$C$8:$C$748,AF31,$B$8:$B$748,$T$11)</f>
        <v>#REF!</v>
      </c>
      <c r="BV31" s="102" t="e">
        <f t="shared" si="34"/>
        <v>#REF!</v>
      </c>
      <c r="BW31" s="102">
        <v>0</v>
      </c>
      <c r="BX31" s="126" t="e">
        <f t="shared" si="10"/>
        <v>#REF!</v>
      </c>
      <c r="BZ31" s="122">
        <f t="shared" si="11"/>
        <v>21</v>
      </c>
      <c r="CA31" s="123">
        <f t="shared" si="12"/>
        <v>17735.973689999999</v>
      </c>
      <c r="CB31" s="123">
        <f t="shared" si="35"/>
        <v>4433.9934400000002</v>
      </c>
      <c r="CC31" s="123">
        <f t="shared" si="36"/>
        <v>620.75908159999994</v>
      </c>
      <c r="CD31" s="123">
        <f t="shared" si="37"/>
        <v>19799.02</v>
      </c>
      <c r="CE31" s="162">
        <v>20157.060000000001</v>
      </c>
      <c r="CF31" s="163">
        <f t="shared" si="13"/>
        <v>-358.04000000000087</v>
      </c>
      <c r="CH31" s="129">
        <f t="shared" si="14"/>
        <v>33</v>
      </c>
      <c r="CI31" s="123">
        <f t="shared" si="15"/>
        <v>23390.938609999997</v>
      </c>
      <c r="CJ31" s="123" t="e">
        <f t="shared" si="16"/>
        <v>#REF!</v>
      </c>
      <c r="CK31" s="123" t="e">
        <f t="shared" si="17"/>
        <v>#REF!</v>
      </c>
      <c r="CL31" s="123" t="e">
        <f>SUM(AL31,#REF!,BH31,BP31,CD31)</f>
        <v>#REF!</v>
      </c>
      <c r="CM31" s="123" t="e">
        <f>SUM(AM31,#REF!,#REF!,BQ31,#REF!)</f>
        <v>#REF!</v>
      </c>
      <c r="CN31" s="123" t="e">
        <f>SUM(AN31,#REF!,#REF!,BR31,#REF!)</f>
        <v>#REF!</v>
      </c>
      <c r="CO31" s="123" t="e">
        <f>SUM(AO31,#REF!,#REF!,BS31,#REF!)</f>
        <v>#REF!</v>
      </c>
      <c r="CP31" s="123" t="e">
        <f>SUM(AP31,#REF!,#REF!,BT31,#REF!)</f>
        <v>#REF!</v>
      </c>
      <c r="CQ31" s="123" t="e">
        <f>SUM(AQ31,#REF!,#REF!,BU31,#REF!)</f>
        <v>#REF!</v>
      </c>
      <c r="CR31" s="123" t="e">
        <f>SUM(AR31,AZ31,#REF!,BV31,#REF!)</f>
        <v>#REF!</v>
      </c>
      <c r="CS31" s="123">
        <f t="shared" si="18"/>
        <v>26539.870000000003</v>
      </c>
      <c r="CT31" s="121" t="e">
        <f t="shared" si="38"/>
        <v>#REF!</v>
      </c>
    </row>
    <row r="32" spans="1:98" ht="15" customHeight="1" thickBot="1" x14ac:dyDescent="0.3">
      <c r="A32" s="105">
        <f>+IF(B32="","",SUBTOTAL(3,B$8:B32))</f>
        <v>25</v>
      </c>
      <c r="B32" s="106" t="str">
        <f>'Detailed Report'!O28</f>
        <v>Fuddruckers - Concord Plaza Mall</v>
      </c>
      <c r="C32" s="107">
        <f>TRUNC('Detailed Report'!Q28,0)</f>
        <v>46023</v>
      </c>
      <c r="D32" s="108">
        <f>'Detailed Report'!P28</f>
        <v>3375923676</v>
      </c>
      <c r="E32" s="106" t="str">
        <f>'Detailed Report'!S28</f>
        <v>Successful</v>
      </c>
      <c r="F32" s="109">
        <f>IF(E32=$E$6,('Detailed Report'!Y28),IF(E32=$E$5,(0),0))</f>
        <v>1089.97</v>
      </c>
      <c r="G32" s="106">
        <f>IF(E32=$E$6,('Detailed Report'!AQ28),IF(E32=$E$5,('Detailed Report'!AW28),0))</f>
        <v>956.11404000000005</v>
      </c>
      <c r="H32" s="106">
        <f>'Detailed Report'!AS28</f>
        <v>239.02851000000001</v>
      </c>
      <c r="I32" s="106">
        <f>'Detailed Report'!AT28</f>
        <v>33.463991399999998</v>
      </c>
      <c r="J32" s="106">
        <f>'Detailed Report'!AO28</f>
        <v>19.074475</v>
      </c>
      <c r="K32" s="106">
        <f>'Detailed Report'!AP28</f>
        <v>2.6704265</v>
      </c>
      <c r="L32" s="106">
        <f>'Detailed Report'!AU28/1.14</f>
        <v>29.815789473684216</v>
      </c>
      <c r="M32" s="106">
        <f>'Detailed Report'!AU28-L32</f>
        <v>4.174210526315786</v>
      </c>
      <c r="N32" s="110">
        <f>'Detailed Report'!AW28</f>
        <v>761.74300000000005</v>
      </c>
      <c r="O32" s="111">
        <f t="shared" si="19"/>
        <v>194.37103999999999</v>
      </c>
      <c r="P32" s="110">
        <f>'Detailed Report'!AM28</f>
        <v>0</v>
      </c>
      <c r="Q32" s="110">
        <f>'Detailed Report'!AN28</f>
        <v>0</v>
      </c>
      <c r="R32" s="110">
        <f>'Detailed Report'!AU28/1.14</f>
        <v>29.815789473684216</v>
      </c>
      <c r="S32" s="110">
        <f>'Detailed Report'!AU28-'........... - Otlob'!R32</f>
        <v>4.174210526315786</v>
      </c>
      <c r="AF32" s="127">
        <f t="shared" si="39"/>
        <v>46047</v>
      </c>
      <c r="AG32" s="116"/>
      <c r="AH32" s="117">
        <f t="shared" si="20"/>
        <v>0</v>
      </c>
      <c r="AI32" s="90">
        <f t="shared" si="21"/>
        <v>0</v>
      </c>
      <c r="AJ32" s="90" t="e">
        <f>SUMIFS(#REF!,$C$8:$C$748,AF32,$B$8:$B$748,$T$8)</f>
        <v>#REF!</v>
      </c>
      <c r="AK32" s="90" t="e">
        <f>SUMIFS(#REF!,$C$8:$C$748,AF32,$B$8:$B$748,$T$8)</f>
        <v>#REF!</v>
      </c>
      <c r="AL32" s="90" t="e">
        <f>SUMIFS(#REF!,$C$8:$C$748,AF32,$B$8:$B$748,$T$8)</f>
        <v>#REF!</v>
      </c>
      <c r="AM32" s="90" t="e">
        <f>SUMIFS(#REF!,$C$8:$C$748,AF32,$B$8:$B$748,$T$8)</f>
        <v>#REF!</v>
      </c>
      <c r="AN32" s="128" t="e">
        <f>SUMIFS(#REF!,$C$8:$C$748,AF32,$B$8:$B$748,$T$8)</f>
        <v>#REF!</v>
      </c>
      <c r="AO32" s="90" t="e">
        <f>SUMIFS(#REF!,$C$8:$C$748,AF32,$B$8:$B$748,$T$8)</f>
        <v>#REF!</v>
      </c>
      <c r="AP32" s="90" t="e">
        <f>SUMIFS(#REF!,$C$8:$C$748,AF32,$B$8:$B$748,$T$8)</f>
        <v>#REF!</v>
      </c>
      <c r="AQ32" s="90" t="e">
        <f>SUMIFS(#REF!,$C$8:$C$748,AF32,$B$8:$B$748,$T$8)</f>
        <v>#REF!</v>
      </c>
      <c r="AR32" s="90" t="e">
        <f t="shared" si="22"/>
        <v>#REF!</v>
      </c>
      <c r="AS32" s="90"/>
      <c r="AT32" s="119" t="e">
        <f t="shared" si="2"/>
        <v>#REF!</v>
      </c>
      <c r="AV32" s="197">
        <f t="shared" si="23"/>
        <v>9</v>
      </c>
      <c r="AW32" s="123">
        <f t="shared" si="24"/>
        <v>6169.7719200000001</v>
      </c>
      <c r="AX32" s="123">
        <f t="shared" si="25"/>
        <v>1542.44299</v>
      </c>
      <c r="AY32" s="123">
        <f t="shared" si="26"/>
        <v>215.94201860000001</v>
      </c>
      <c r="AZ32" s="123">
        <f t="shared" si="27"/>
        <v>7033.5399999999991</v>
      </c>
      <c r="BA32" s="162">
        <v>6989.39</v>
      </c>
      <c r="BB32" s="163">
        <f t="shared" si="28"/>
        <v>44.149999999998727</v>
      </c>
      <c r="BD32" s="122">
        <f t="shared" si="29"/>
        <v>8</v>
      </c>
      <c r="BE32" s="123">
        <f t="shared" si="30"/>
        <v>4208.4649099999997</v>
      </c>
      <c r="BF32" s="123">
        <f t="shared" si="31"/>
        <v>1052.1162299999999</v>
      </c>
      <c r="BG32" s="123">
        <f t="shared" si="32"/>
        <v>147.2962722</v>
      </c>
      <c r="BH32" s="123">
        <f t="shared" si="33"/>
        <v>4797.6499999999996</v>
      </c>
      <c r="BI32" s="162">
        <v>4757.17</v>
      </c>
      <c r="BJ32" s="163">
        <f t="shared" si="7"/>
        <v>40.479999999999563</v>
      </c>
      <c r="BL32" s="124">
        <f t="shared" si="8"/>
        <v>0</v>
      </c>
      <c r="BM32" s="102">
        <f t="shared" si="9"/>
        <v>0</v>
      </c>
      <c r="BN32" s="102" t="e">
        <f>SUMIFS(#REF!,$C$8:$C$748,AF32,$B$8:$B$748,$T$11)</f>
        <v>#REF!</v>
      </c>
      <c r="BO32" s="102" t="e">
        <f>SUMIFS(#REF!,$C$8:$C$748,AF32,$B$8:$B$748,$T$11)</f>
        <v>#REF!</v>
      </c>
      <c r="BP32" s="102" t="e">
        <f>SUMIFS(#REF!,$C$8:$C$748,AF32,$B$8:$B$748,$T$11)</f>
        <v>#REF!</v>
      </c>
      <c r="BQ32" s="102" t="e">
        <f>SUMIFS(#REF!,$C$8:$C$748,AF32,$B$8:$B$748,$T$11)</f>
        <v>#REF!</v>
      </c>
      <c r="BR32" s="125" t="e">
        <f>SUMIFS(#REF!,$C$8:$C$748,AF32,$B$8:$B$748,$T$11)</f>
        <v>#REF!</v>
      </c>
      <c r="BS32" s="102" t="e">
        <f>SUMIFS(#REF!,$C$8:$C$748,AF32,$B$8:$B$748,$T$11)</f>
        <v>#REF!</v>
      </c>
      <c r="BT32" s="102" t="e">
        <f>SUMIFS(#REF!,$C$8:$C$748,AF32,$B$8:$B$748,$T$11)</f>
        <v>#REF!</v>
      </c>
      <c r="BU32" s="102" t="e">
        <f>SUMIFS(#REF!,$C$8:$C$748,AF32,$B$8:$B$748,$T$11)</f>
        <v>#REF!</v>
      </c>
      <c r="BV32" s="102" t="e">
        <f t="shared" si="34"/>
        <v>#REF!</v>
      </c>
      <c r="BW32" s="102">
        <v>0</v>
      </c>
      <c r="BX32" s="126" t="e">
        <f t="shared" si="10"/>
        <v>#REF!</v>
      </c>
      <c r="BZ32" s="122">
        <f t="shared" si="11"/>
        <v>16</v>
      </c>
      <c r="CA32" s="123">
        <f t="shared" si="12"/>
        <v>8284.4386099999992</v>
      </c>
      <c r="CB32" s="123">
        <f t="shared" si="35"/>
        <v>2071.1096600000001</v>
      </c>
      <c r="CC32" s="123">
        <f t="shared" si="36"/>
        <v>289.95535239999998</v>
      </c>
      <c r="CD32" s="123">
        <f t="shared" si="37"/>
        <v>8663.61</v>
      </c>
      <c r="CE32" s="162">
        <v>9379.52</v>
      </c>
      <c r="CF32" s="163">
        <f t="shared" si="13"/>
        <v>-715.90999999999985</v>
      </c>
      <c r="CH32" s="129">
        <f t="shared" si="14"/>
        <v>33</v>
      </c>
      <c r="CI32" s="123">
        <f t="shared" si="15"/>
        <v>18662.675439999999</v>
      </c>
      <c r="CJ32" s="123" t="e">
        <f t="shared" si="16"/>
        <v>#REF!</v>
      </c>
      <c r="CK32" s="123" t="e">
        <f t="shared" si="17"/>
        <v>#REF!</v>
      </c>
      <c r="CL32" s="123" t="e">
        <f>SUM(AL32,#REF!,BH32,BP32,CD32)</f>
        <v>#REF!</v>
      </c>
      <c r="CM32" s="123" t="e">
        <f>SUM(AM32,#REF!,#REF!,BQ32,#REF!)</f>
        <v>#REF!</v>
      </c>
      <c r="CN32" s="123" t="e">
        <f>SUM(AN32,#REF!,#REF!,BR32,#REF!)</f>
        <v>#REF!</v>
      </c>
      <c r="CO32" s="123" t="e">
        <f>SUM(AO32,#REF!,#REF!,BS32,#REF!)</f>
        <v>#REF!</v>
      </c>
      <c r="CP32" s="123" t="e">
        <f>SUM(AP32,#REF!,#REF!,BT32,#REF!)</f>
        <v>#REF!</v>
      </c>
      <c r="CQ32" s="123" t="e">
        <f>SUM(AQ32,#REF!,#REF!,BU32,#REF!)</f>
        <v>#REF!</v>
      </c>
      <c r="CR32" s="123" t="e">
        <f>SUM(AR32,AZ32,#REF!,BV32,#REF!)</f>
        <v>#REF!</v>
      </c>
      <c r="CS32" s="123">
        <f t="shared" si="18"/>
        <v>21126.080000000002</v>
      </c>
      <c r="CT32" s="121" t="e">
        <f t="shared" si="38"/>
        <v>#REF!</v>
      </c>
    </row>
    <row r="33" spans="1:98" ht="15" customHeight="1" thickBot="1" x14ac:dyDescent="0.3">
      <c r="A33" s="105">
        <f>+IF(B33="","",SUBTOTAL(3,B$8:B33))</f>
        <v>26</v>
      </c>
      <c r="B33" s="106" t="str">
        <f>'Detailed Report'!O29</f>
        <v>Fuddruckers - City Stars</v>
      </c>
      <c r="C33" s="107">
        <f>TRUNC('Detailed Report'!Q29,0)</f>
        <v>46023</v>
      </c>
      <c r="D33" s="108">
        <f>'Detailed Report'!P29</f>
        <v>3375923900</v>
      </c>
      <c r="E33" s="106" t="str">
        <f>'Detailed Report'!S29</f>
        <v>Successful</v>
      </c>
      <c r="F33" s="109">
        <f>IF(E33=$E$6,('Detailed Report'!Y29),IF(E33=$E$5,(0),0))</f>
        <v>265</v>
      </c>
      <c r="G33" s="106">
        <f>IF(E33=$E$6,('Detailed Report'!AQ29),IF(E33=$E$5,('Detailed Report'!AW29),0))</f>
        <v>232.45614</v>
      </c>
      <c r="H33" s="106">
        <f>'Detailed Report'!AS29</f>
        <v>58.114040000000003</v>
      </c>
      <c r="I33" s="106">
        <f>'Detailed Report'!AT29</f>
        <v>8.1359656000000005</v>
      </c>
      <c r="J33" s="106">
        <f>'Detailed Report'!AO29</f>
        <v>0</v>
      </c>
      <c r="K33" s="106">
        <f>'Detailed Report'!AP29</f>
        <v>0</v>
      </c>
      <c r="L33" s="106">
        <f>'Detailed Report'!AU29/1.14</f>
        <v>23.67543859649123</v>
      </c>
      <c r="M33" s="106">
        <f>'Detailed Report'!AU29-L33</f>
        <v>3.3145614035087689</v>
      </c>
      <c r="N33" s="110">
        <f>'Detailed Report'!AW29</f>
        <v>137.56</v>
      </c>
      <c r="O33" s="111">
        <f t="shared" si="19"/>
        <v>94.896140000000003</v>
      </c>
      <c r="P33" s="110">
        <f>'Detailed Report'!AM29</f>
        <v>30</v>
      </c>
      <c r="Q33" s="110">
        <f>'Detailed Report'!AN29</f>
        <v>4.2</v>
      </c>
      <c r="R33" s="110">
        <f>'Detailed Report'!AU29/1.14</f>
        <v>23.67543859649123</v>
      </c>
      <c r="S33" s="110">
        <f>'Detailed Report'!AU29-'........... - Otlob'!R33</f>
        <v>3.3145614035087689</v>
      </c>
      <c r="AF33" s="127">
        <f t="shared" si="39"/>
        <v>46048</v>
      </c>
      <c r="AG33" s="116"/>
      <c r="AH33" s="117">
        <f t="shared" si="20"/>
        <v>0</v>
      </c>
      <c r="AI33" s="90">
        <f t="shared" si="21"/>
        <v>0</v>
      </c>
      <c r="AJ33" s="90" t="e">
        <f>SUMIFS(#REF!,$C$8:$C$748,AF33,$B$8:$B$748,$T$8)</f>
        <v>#REF!</v>
      </c>
      <c r="AK33" s="90" t="e">
        <f>SUMIFS(#REF!,$C$8:$C$748,AF33,$B$8:$B$748,$T$8)</f>
        <v>#REF!</v>
      </c>
      <c r="AL33" s="90" t="e">
        <f>SUMIFS(#REF!,$C$8:$C$748,AF33,$B$8:$B$748,$T$8)</f>
        <v>#REF!</v>
      </c>
      <c r="AM33" s="90" t="e">
        <f>SUMIFS(#REF!,$C$8:$C$748,AF33,$B$8:$B$748,$T$8)</f>
        <v>#REF!</v>
      </c>
      <c r="AN33" s="128" t="e">
        <f>SUMIFS(#REF!,$C$8:$C$748,AF33,$B$8:$B$748,$T$8)</f>
        <v>#REF!</v>
      </c>
      <c r="AO33" s="90" t="e">
        <f>SUMIFS(#REF!,$C$8:$C$748,AF33,$B$8:$B$748,$T$8)</f>
        <v>#REF!</v>
      </c>
      <c r="AP33" s="90" t="e">
        <f>SUMIFS(#REF!,$C$8:$C$748,AF33,$B$8:$B$748,$T$8)</f>
        <v>#REF!</v>
      </c>
      <c r="AQ33" s="90" t="e">
        <f>SUMIFS(#REF!,$C$8:$C$748,AF33,$B$8:$B$748,$T$8)</f>
        <v>#REF!</v>
      </c>
      <c r="AR33" s="90" t="e">
        <f t="shared" si="22"/>
        <v>#REF!</v>
      </c>
      <c r="AS33" s="90"/>
      <c r="AT33" s="119" t="e">
        <f t="shared" si="2"/>
        <v>#REF!</v>
      </c>
      <c r="AV33" s="197">
        <f t="shared" si="23"/>
        <v>13</v>
      </c>
      <c r="AW33" s="123">
        <f t="shared" si="24"/>
        <v>7020.6929800000007</v>
      </c>
      <c r="AX33" s="123">
        <f t="shared" si="25"/>
        <v>1755.17326</v>
      </c>
      <c r="AY33" s="123">
        <f t="shared" si="26"/>
        <v>245.72425639999997</v>
      </c>
      <c r="AZ33" s="123">
        <f t="shared" si="27"/>
        <v>8003.59</v>
      </c>
      <c r="BA33" s="162">
        <v>8186.43</v>
      </c>
      <c r="BB33" s="163">
        <f t="shared" si="28"/>
        <v>-182.84000000000015</v>
      </c>
      <c r="BD33" s="122">
        <f t="shared" si="29"/>
        <v>2</v>
      </c>
      <c r="BE33" s="123">
        <f t="shared" si="30"/>
        <v>1681.5350899999999</v>
      </c>
      <c r="BF33" s="123">
        <f t="shared" si="31"/>
        <v>420.38377000000003</v>
      </c>
      <c r="BG33" s="123">
        <f t="shared" si="32"/>
        <v>58.853727800000001</v>
      </c>
      <c r="BH33" s="123">
        <f t="shared" si="33"/>
        <v>1916.95</v>
      </c>
      <c r="BI33" s="162">
        <v>1891.26</v>
      </c>
      <c r="BJ33" s="163">
        <f t="shared" si="7"/>
        <v>25.690000000000055</v>
      </c>
      <c r="BL33" s="124">
        <f t="shared" si="8"/>
        <v>0</v>
      </c>
      <c r="BM33" s="102">
        <f t="shared" si="9"/>
        <v>0</v>
      </c>
      <c r="BN33" s="102" t="e">
        <f>SUMIFS(#REF!,$C$8:$C$748,AF33,$B$8:$B$748,$T$11)</f>
        <v>#REF!</v>
      </c>
      <c r="BO33" s="102" t="e">
        <f>SUMIFS(#REF!,$C$8:$C$748,AF33,$B$8:$B$748,$T$11)</f>
        <v>#REF!</v>
      </c>
      <c r="BP33" s="102" t="e">
        <f>SUMIFS(#REF!,$C$8:$C$748,AF33,$B$8:$B$748,$T$11)</f>
        <v>#REF!</v>
      </c>
      <c r="BQ33" s="102" t="e">
        <f>SUMIFS(#REF!,$C$8:$C$748,AF33,$B$8:$B$748,$T$11)</f>
        <v>#REF!</v>
      </c>
      <c r="BR33" s="125" t="e">
        <f>SUMIFS(#REF!,$C$8:$C$748,AF33,$B$8:$B$748,$T$11)</f>
        <v>#REF!</v>
      </c>
      <c r="BS33" s="102" t="e">
        <f>SUMIFS(#REF!,$C$8:$C$748,AF33,$B$8:$B$748,$T$11)</f>
        <v>#REF!</v>
      </c>
      <c r="BT33" s="102" t="e">
        <f>SUMIFS(#REF!,$C$8:$C$748,AF33,$B$8:$B$748,$T$11)</f>
        <v>#REF!</v>
      </c>
      <c r="BU33" s="102" t="e">
        <f>SUMIFS(#REF!,$C$8:$C$748,AF33,$B$8:$B$748,$T$11)</f>
        <v>#REF!</v>
      </c>
      <c r="BV33" s="102" t="e">
        <f t="shared" si="34"/>
        <v>#REF!</v>
      </c>
      <c r="BW33" s="102">
        <v>0</v>
      </c>
      <c r="BX33" s="126" t="e">
        <f t="shared" si="10"/>
        <v>#REF!</v>
      </c>
      <c r="BZ33" s="122">
        <f t="shared" si="11"/>
        <v>14</v>
      </c>
      <c r="CA33" s="123">
        <f t="shared" si="12"/>
        <v>9422.6323799999991</v>
      </c>
      <c r="CB33" s="123">
        <f t="shared" si="35"/>
        <v>2643.7939200000001</v>
      </c>
      <c r="CC33" s="123">
        <f t="shared" si="36"/>
        <v>370.13114880000006</v>
      </c>
      <c r="CD33" s="123">
        <f t="shared" si="37"/>
        <v>10979.66</v>
      </c>
      <c r="CE33" s="162">
        <v>10968.32</v>
      </c>
      <c r="CF33" s="163">
        <f t="shared" si="13"/>
        <v>11.340000000000146</v>
      </c>
      <c r="CH33" s="129">
        <f t="shared" si="14"/>
        <v>29</v>
      </c>
      <c r="CI33" s="123">
        <f t="shared" si="15"/>
        <v>18124.86045</v>
      </c>
      <c r="CJ33" s="123" t="e">
        <f t="shared" si="16"/>
        <v>#REF!</v>
      </c>
      <c r="CK33" s="123" t="e">
        <f t="shared" si="17"/>
        <v>#REF!</v>
      </c>
      <c r="CL33" s="123" t="e">
        <f>SUM(AL33,#REF!,BH33,BP33,CD33)</f>
        <v>#REF!</v>
      </c>
      <c r="CM33" s="123" t="e">
        <f>SUM(AM33,#REF!,#REF!,BQ33,#REF!)</f>
        <v>#REF!</v>
      </c>
      <c r="CN33" s="123" t="e">
        <f>SUM(AN33,#REF!,#REF!,BR33,#REF!)</f>
        <v>#REF!</v>
      </c>
      <c r="CO33" s="123" t="e">
        <f>SUM(AO33,#REF!,#REF!,BS33,#REF!)</f>
        <v>#REF!</v>
      </c>
      <c r="CP33" s="123" t="e">
        <f>SUM(AP33,#REF!,#REF!,BT33,#REF!)</f>
        <v>#REF!</v>
      </c>
      <c r="CQ33" s="123" t="e">
        <f>SUM(AQ33,#REF!,#REF!,BU33,#REF!)</f>
        <v>#REF!</v>
      </c>
      <c r="CR33" s="123" t="e">
        <f>SUM(AR33,AZ33,#REF!,BV33,#REF!)</f>
        <v>#REF!</v>
      </c>
      <c r="CS33" s="123">
        <f t="shared" si="18"/>
        <v>21046.010000000002</v>
      </c>
      <c r="CT33" s="121" t="e">
        <f t="shared" si="38"/>
        <v>#REF!</v>
      </c>
    </row>
    <row r="34" spans="1:98" ht="15" customHeight="1" thickBot="1" x14ac:dyDescent="0.3">
      <c r="A34" s="105">
        <f>+IF(B34="","",SUBTOTAL(3,B$8:B34))</f>
        <v>27</v>
      </c>
      <c r="B34" s="106" t="str">
        <f>'Detailed Report'!O30</f>
        <v>Fuddruckers - New Maadi</v>
      </c>
      <c r="C34" s="107">
        <f>TRUNC('Detailed Report'!Q30,0)</f>
        <v>46023</v>
      </c>
      <c r="D34" s="108">
        <f>'Detailed Report'!P30</f>
        <v>3375927317</v>
      </c>
      <c r="E34" s="106" t="str">
        <f>'Detailed Report'!S30</f>
        <v>Successful</v>
      </c>
      <c r="F34" s="109">
        <f>IF(E34=$E$6,('Detailed Report'!Y30),IF(E34=$E$5,(0),0))</f>
        <v>633.97</v>
      </c>
      <c r="G34" s="106">
        <f>IF(E34=$E$6,('Detailed Report'!AQ30),IF(E34=$E$5,('Detailed Report'!AW30),0))</f>
        <v>556.11404000000005</v>
      </c>
      <c r="H34" s="106">
        <f>'Detailed Report'!AS30</f>
        <v>139.02851000000001</v>
      </c>
      <c r="I34" s="106">
        <f>'Detailed Report'!AT30</f>
        <v>19.463991400000001</v>
      </c>
      <c r="J34" s="106">
        <f>'Detailed Report'!AO30</f>
        <v>11.094474999999999</v>
      </c>
      <c r="K34" s="106">
        <f>'Detailed Report'!AP30</f>
        <v>1.5532265000000001</v>
      </c>
      <c r="L34" s="106">
        <f>'Detailed Report'!AU30/1.14</f>
        <v>0</v>
      </c>
      <c r="M34" s="106">
        <f>'Detailed Report'!AU30-L34</f>
        <v>0</v>
      </c>
      <c r="N34" s="110">
        <f>'Detailed Report'!AW30</f>
        <v>462.83</v>
      </c>
      <c r="O34" s="111">
        <f t="shared" si="19"/>
        <v>93.284040000000061</v>
      </c>
      <c r="P34" s="110">
        <f>'Detailed Report'!AM30</f>
        <v>0</v>
      </c>
      <c r="Q34" s="110">
        <f>'Detailed Report'!AN30</f>
        <v>0</v>
      </c>
      <c r="R34" s="110">
        <f>'Detailed Report'!AU30/1.14</f>
        <v>0</v>
      </c>
      <c r="S34" s="110">
        <f>'Detailed Report'!AU30-'........... - Otlob'!R34</f>
        <v>0</v>
      </c>
      <c r="AF34" s="127">
        <f t="shared" si="39"/>
        <v>46049</v>
      </c>
      <c r="AG34" s="116"/>
      <c r="AH34" s="117">
        <f t="shared" si="20"/>
        <v>0</v>
      </c>
      <c r="AI34" s="90">
        <f t="shared" si="21"/>
        <v>0</v>
      </c>
      <c r="AJ34" s="90" t="e">
        <f>SUMIFS(#REF!,$C$8:$C$748,AF34,$B$8:$B$748,$T$8)</f>
        <v>#REF!</v>
      </c>
      <c r="AK34" s="90" t="e">
        <f>SUMIFS(#REF!,$C$8:$C$748,AF34,$B$8:$B$748,$T$8)</f>
        <v>#REF!</v>
      </c>
      <c r="AL34" s="90" t="e">
        <f>SUMIFS(#REF!,$C$8:$C$748,AF34,$B$8:$B$748,$T$8)</f>
        <v>#REF!</v>
      </c>
      <c r="AM34" s="90" t="e">
        <f>SUMIFS(#REF!,$C$8:$C$748,AF34,$B$8:$B$748,$T$8)</f>
        <v>#REF!</v>
      </c>
      <c r="AN34" s="128" t="e">
        <f>SUMIFS(#REF!,$C$8:$C$748,AF34,$B$8:$B$748,$T$8)</f>
        <v>#REF!</v>
      </c>
      <c r="AO34" s="90" t="e">
        <f>SUMIFS(#REF!,$C$8:$C$748,AF34,$B$8:$B$748,$T$8)</f>
        <v>#REF!</v>
      </c>
      <c r="AP34" s="90" t="e">
        <f>SUMIFS(#REF!,$C$8:$C$748,AF34,$B$8:$B$748,$T$8)</f>
        <v>#REF!</v>
      </c>
      <c r="AQ34" s="90" t="e">
        <f>SUMIFS(#REF!,$C$8:$C$748,AF34,$B$8:$B$748,$T$8)</f>
        <v>#REF!</v>
      </c>
      <c r="AR34" s="90" t="e">
        <f t="shared" si="22"/>
        <v>#REF!</v>
      </c>
      <c r="AS34" s="90"/>
      <c r="AT34" s="119" t="e">
        <f t="shared" si="2"/>
        <v>#REF!</v>
      </c>
      <c r="AV34" s="197">
        <f t="shared" si="23"/>
        <v>9</v>
      </c>
      <c r="AW34" s="123">
        <f t="shared" si="24"/>
        <v>2447.07017</v>
      </c>
      <c r="AX34" s="123">
        <f t="shared" si="25"/>
        <v>611.76755000000003</v>
      </c>
      <c r="AY34" s="123">
        <f t="shared" si="26"/>
        <v>85.647457000000003</v>
      </c>
      <c r="AZ34" s="123">
        <f t="shared" si="27"/>
        <v>2789.6600000000003</v>
      </c>
      <c r="BA34" s="162">
        <v>2828.34</v>
      </c>
      <c r="BB34" s="163">
        <f t="shared" si="28"/>
        <v>-38.679999999999836</v>
      </c>
      <c r="BD34" s="122">
        <f t="shared" si="29"/>
        <v>0</v>
      </c>
      <c r="BE34" s="123">
        <f t="shared" si="30"/>
        <v>2594.07017</v>
      </c>
      <c r="BF34" s="123">
        <f t="shared" si="31"/>
        <v>648.51755000000003</v>
      </c>
      <c r="BG34" s="123">
        <f t="shared" si="32"/>
        <v>90.792456999999985</v>
      </c>
      <c r="BH34" s="123">
        <f t="shared" si="33"/>
        <v>2957.24</v>
      </c>
      <c r="BI34" s="162">
        <v>3017.58</v>
      </c>
      <c r="BJ34" s="163">
        <f t="shared" si="7"/>
        <v>-60.340000000000146</v>
      </c>
      <c r="BL34" s="124">
        <f t="shared" si="8"/>
        <v>0</v>
      </c>
      <c r="BM34" s="102">
        <f t="shared" si="9"/>
        <v>0</v>
      </c>
      <c r="BN34" s="102" t="e">
        <f>SUMIFS(#REF!,$C$8:$C$748,AF34,$B$8:$B$748,$T$11)</f>
        <v>#REF!</v>
      </c>
      <c r="BO34" s="102" t="e">
        <f>SUMIFS(#REF!,$C$8:$C$748,AF34,$B$8:$B$748,$T$11)</f>
        <v>#REF!</v>
      </c>
      <c r="BP34" s="102" t="e">
        <f>SUMIFS(#REF!,$C$8:$C$748,AF34,$B$8:$B$748,$T$11)</f>
        <v>#REF!</v>
      </c>
      <c r="BQ34" s="102" t="e">
        <f>SUMIFS(#REF!,$C$8:$C$748,AF34,$B$8:$B$748,$T$11)</f>
        <v>#REF!</v>
      </c>
      <c r="BR34" s="125" t="e">
        <f>SUMIFS(#REF!,$C$8:$C$748,AF34,$B$8:$B$748,$T$11)</f>
        <v>#REF!</v>
      </c>
      <c r="BS34" s="102" t="e">
        <f>SUMIFS(#REF!,$C$8:$C$748,AF34,$B$8:$B$748,$T$11)</f>
        <v>#REF!</v>
      </c>
      <c r="BT34" s="102" t="e">
        <f>SUMIFS(#REF!,$C$8:$C$748,AF34,$B$8:$B$748,$T$11)</f>
        <v>#REF!</v>
      </c>
      <c r="BU34" s="102" t="e">
        <f>SUMIFS(#REF!,$C$8:$C$748,AF34,$B$8:$B$748,$T$11)</f>
        <v>#REF!</v>
      </c>
      <c r="BV34" s="102" t="e">
        <f t="shared" si="34"/>
        <v>#REF!</v>
      </c>
      <c r="BW34" s="102">
        <v>0</v>
      </c>
      <c r="BX34" s="126" t="e">
        <f t="shared" si="10"/>
        <v>#REF!</v>
      </c>
      <c r="BZ34" s="122">
        <f t="shared" si="11"/>
        <v>0</v>
      </c>
      <c r="CA34" s="123">
        <f t="shared" si="12"/>
        <v>4882.7017500000002</v>
      </c>
      <c r="CB34" s="123">
        <f t="shared" si="35"/>
        <v>1220.6754400000002</v>
      </c>
      <c r="CC34" s="123">
        <f t="shared" si="36"/>
        <v>170.8945616</v>
      </c>
      <c r="CD34" s="123">
        <f t="shared" si="37"/>
        <v>5566.2800000000007</v>
      </c>
      <c r="CE34" s="162">
        <v>5099.21</v>
      </c>
      <c r="CF34" s="163">
        <f t="shared" si="13"/>
        <v>467.07000000000062</v>
      </c>
      <c r="CH34" s="129">
        <f t="shared" si="14"/>
        <v>9</v>
      </c>
      <c r="CI34" s="123">
        <f t="shared" si="15"/>
        <v>9923.8420900000001</v>
      </c>
      <c r="CJ34" s="123" t="e">
        <f t="shared" si="16"/>
        <v>#REF!</v>
      </c>
      <c r="CK34" s="123" t="e">
        <f t="shared" si="17"/>
        <v>#REF!</v>
      </c>
      <c r="CL34" s="123" t="e">
        <f>SUM(AL34,#REF!,BH34,BP34,CD34)</f>
        <v>#REF!</v>
      </c>
      <c r="CM34" s="123" t="e">
        <f>SUM(AM34,#REF!,#REF!,BQ34,#REF!)</f>
        <v>#REF!</v>
      </c>
      <c r="CN34" s="123" t="e">
        <f>SUM(AN34,#REF!,#REF!,BR34,#REF!)</f>
        <v>#REF!</v>
      </c>
      <c r="CO34" s="123" t="e">
        <f>SUM(AO34,#REF!,#REF!,BS34,#REF!)</f>
        <v>#REF!</v>
      </c>
      <c r="CP34" s="123" t="e">
        <f>SUM(AP34,#REF!,#REF!,BT34,#REF!)</f>
        <v>#REF!</v>
      </c>
      <c r="CQ34" s="123" t="e">
        <f>SUM(AQ34,#REF!,#REF!,BU34,#REF!)</f>
        <v>#REF!</v>
      </c>
      <c r="CR34" s="123" t="e">
        <f>SUM(AR34,AZ34,#REF!,BV34,#REF!)</f>
        <v>#REF!</v>
      </c>
      <c r="CS34" s="123">
        <f t="shared" si="18"/>
        <v>10945.130000000001</v>
      </c>
      <c r="CT34" s="121" t="e">
        <f t="shared" si="38"/>
        <v>#REF!</v>
      </c>
    </row>
    <row r="35" spans="1:98" ht="15" customHeight="1" thickBot="1" x14ac:dyDescent="0.3">
      <c r="A35" s="105">
        <f>+IF(B35="","",SUBTOTAL(3,B$8:B35))</f>
        <v>28</v>
      </c>
      <c r="B35" s="106" t="str">
        <f>'Detailed Report'!O31</f>
        <v>Fuddruckers - Concord Plaza Mall</v>
      </c>
      <c r="C35" s="107">
        <f>TRUNC('Detailed Report'!Q31,0)</f>
        <v>46023</v>
      </c>
      <c r="D35" s="108">
        <f>'Detailed Report'!P31</f>
        <v>3375928053</v>
      </c>
      <c r="E35" s="106" t="str">
        <f>'Detailed Report'!S31</f>
        <v>Successful</v>
      </c>
      <c r="F35" s="109">
        <f>IF(E35=$E$6,('Detailed Report'!Y31),IF(E35=$E$5,(0),0))</f>
        <v>434.93</v>
      </c>
      <c r="G35" s="106">
        <f>IF(E35=$E$6,('Detailed Report'!AQ31),IF(E35=$E$5,('Detailed Report'!AW31),0))</f>
        <v>381.51754</v>
      </c>
      <c r="H35" s="106">
        <f>'Detailed Report'!AS31</f>
        <v>95.379390000000001</v>
      </c>
      <c r="I35" s="106">
        <f>'Detailed Report'!AT31</f>
        <v>13.3531146</v>
      </c>
      <c r="J35" s="106">
        <f>'Detailed Report'!AO31</f>
        <v>0</v>
      </c>
      <c r="K35" s="106">
        <f>'Detailed Report'!AP31</f>
        <v>0</v>
      </c>
      <c r="L35" s="106">
        <f>'Detailed Report'!AU31/1.14</f>
        <v>28.938596491228076</v>
      </c>
      <c r="M35" s="106">
        <f>'Detailed Report'!AU31-L35</f>
        <v>4.0514035087719265</v>
      </c>
      <c r="N35" s="110">
        <f>'Detailed Report'!AW31</f>
        <v>293.20699999999999</v>
      </c>
      <c r="O35" s="111">
        <f t="shared" si="19"/>
        <v>88.310540000000003</v>
      </c>
      <c r="P35" s="110">
        <f>'Detailed Report'!AM31</f>
        <v>0</v>
      </c>
      <c r="Q35" s="110">
        <f>'Detailed Report'!AN31</f>
        <v>0</v>
      </c>
      <c r="R35" s="110">
        <f>'Detailed Report'!AU31/1.14</f>
        <v>28.938596491228076</v>
      </c>
      <c r="S35" s="110">
        <f>'Detailed Report'!AU31-'........... - Otlob'!R35</f>
        <v>4.0514035087719265</v>
      </c>
      <c r="AF35" s="127">
        <f t="shared" si="39"/>
        <v>46050</v>
      </c>
      <c r="AG35" s="116"/>
      <c r="AH35" s="117">
        <f t="shared" si="20"/>
        <v>0</v>
      </c>
      <c r="AI35" s="90">
        <f t="shared" si="21"/>
        <v>0</v>
      </c>
      <c r="AJ35" s="90" t="e">
        <f>SUMIFS(#REF!,$C$8:$C$748,AF35,$B$8:$B$748,$T$8)</f>
        <v>#REF!</v>
      </c>
      <c r="AK35" s="90" t="e">
        <f>SUMIFS(#REF!,$C$8:$C$748,AF35,$B$8:$B$748,$T$8)</f>
        <v>#REF!</v>
      </c>
      <c r="AL35" s="90" t="e">
        <f>SUMIFS(#REF!,$C$8:$C$748,AF35,$B$8:$B$748,$T$8)</f>
        <v>#REF!</v>
      </c>
      <c r="AM35" s="90" t="e">
        <f>SUMIFS(#REF!,$C$8:$C$748,AF35,$B$8:$B$748,$T$8)</f>
        <v>#REF!</v>
      </c>
      <c r="AN35" s="128" t="e">
        <f>SUMIFS(#REF!,$C$8:$C$748,AF35,$B$8:$B$748,$T$8)</f>
        <v>#REF!</v>
      </c>
      <c r="AO35" s="90" t="e">
        <f>SUMIFS(#REF!,$C$8:$C$748,AF35,$B$8:$B$748,$T$8)</f>
        <v>#REF!</v>
      </c>
      <c r="AP35" s="90" t="e">
        <f>SUMIFS(#REF!,$C$8:$C$748,AF35,$B$8:$B$748,$T$8)</f>
        <v>#REF!</v>
      </c>
      <c r="AQ35" s="90" t="e">
        <f>SUMIFS(#REF!,$C$8:$C$748,AF35,$B$8:$B$748,$T$8)</f>
        <v>#REF!</v>
      </c>
      <c r="AR35" s="90" t="e">
        <f t="shared" si="22"/>
        <v>#REF!</v>
      </c>
      <c r="AS35" s="90"/>
      <c r="AT35" s="119" t="e">
        <f t="shared" si="2"/>
        <v>#REF!</v>
      </c>
      <c r="AV35" s="197">
        <f t="shared" si="23"/>
        <v>12</v>
      </c>
      <c r="AW35" s="123">
        <f t="shared" si="24"/>
        <v>7007.67544</v>
      </c>
      <c r="AX35" s="123">
        <f t="shared" si="25"/>
        <v>1751.9188600000002</v>
      </c>
      <c r="AY35" s="123">
        <f t="shared" si="26"/>
        <v>245.26864040000001</v>
      </c>
      <c r="AZ35" s="123">
        <f t="shared" si="27"/>
        <v>7988.7499999999991</v>
      </c>
      <c r="BA35" s="162">
        <v>8957.11</v>
      </c>
      <c r="BB35" s="163">
        <f t="shared" si="28"/>
        <v>-968.36000000000149</v>
      </c>
      <c r="BD35" s="122">
        <f t="shared" si="29"/>
        <v>0</v>
      </c>
      <c r="BE35" s="123">
        <f t="shared" si="30"/>
        <v>2511.2017599999999</v>
      </c>
      <c r="BF35" s="123">
        <f t="shared" si="31"/>
        <v>627.80045000000007</v>
      </c>
      <c r="BG35" s="123">
        <f t="shared" si="32"/>
        <v>87.892063000000007</v>
      </c>
      <c r="BH35" s="123">
        <f t="shared" si="33"/>
        <v>2862.77</v>
      </c>
      <c r="BI35" s="162">
        <v>2903.58</v>
      </c>
      <c r="BJ35" s="163">
        <f t="shared" si="7"/>
        <v>-40.809999999999945</v>
      </c>
      <c r="BL35" s="124">
        <f t="shared" si="8"/>
        <v>0</v>
      </c>
      <c r="BM35" s="102">
        <f t="shared" si="9"/>
        <v>0</v>
      </c>
      <c r="BN35" s="102" t="e">
        <f>SUMIFS(#REF!,$C$8:$C$748,AF35,$B$8:$B$748,$T$11)</f>
        <v>#REF!</v>
      </c>
      <c r="BO35" s="102" t="e">
        <f>SUMIFS(#REF!,$C$8:$C$748,AF35,$B$8:$B$748,$T$11)</f>
        <v>#REF!</v>
      </c>
      <c r="BP35" s="102" t="e">
        <f>SUMIFS(#REF!,$C$8:$C$748,AF35,$B$8:$B$748,$T$11)</f>
        <v>#REF!</v>
      </c>
      <c r="BQ35" s="102" t="e">
        <f>SUMIFS(#REF!,$C$8:$C$748,AF35,$B$8:$B$748,$T$11)</f>
        <v>#REF!</v>
      </c>
      <c r="BR35" s="125" t="e">
        <f>SUMIFS(#REF!,$C$8:$C$748,AF35,$B$8:$B$748,$T$11)</f>
        <v>#REF!</v>
      </c>
      <c r="BS35" s="102" t="e">
        <f>SUMIFS(#REF!,$C$8:$C$748,AF35,$B$8:$B$748,$T$11)</f>
        <v>#REF!</v>
      </c>
      <c r="BT35" s="102" t="e">
        <f>SUMIFS(#REF!,$C$8:$C$748,AF35,$B$8:$B$748,$T$11)</f>
        <v>#REF!</v>
      </c>
      <c r="BU35" s="102" t="e">
        <f>SUMIFS(#REF!,$C$8:$C$748,AF35,$B$8:$B$748,$T$11)</f>
        <v>#REF!</v>
      </c>
      <c r="BV35" s="102" t="e">
        <f t="shared" si="34"/>
        <v>#REF!</v>
      </c>
      <c r="BW35" s="102">
        <v>0</v>
      </c>
      <c r="BX35" s="126" t="e">
        <f t="shared" si="10"/>
        <v>#REF!</v>
      </c>
      <c r="BZ35" s="122">
        <f t="shared" si="11"/>
        <v>0</v>
      </c>
      <c r="CA35" s="123">
        <f t="shared" si="12"/>
        <v>12494.377199999999</v>
      </c>
      <c r="CB35" s="123">
        <f t="shared" si="35"/>
        <v>3123.5942999999997</v>
      </c>
      <c r="CC35" s="123">
        <f t="shared" si="36"/>
        <v>437.30320199999994</v>
      </c>
      <c r="CD35" s="123">
        <f t="shared" si="37"/>
        <v>14243.589999999998</v>
      </c>
      <c r="CE35" s="162">
        <v>14183.83</v>
      </c>
      <c r="CF35" s="163">
        <f t="shared" si="13"/>
        <v>59.759999999998399</v>
      </c>
      <c r="CH35" s="129">
        <f t="shared" si="14"/>
        <v>12</v>
      </c>
      <c r="CI35" s="123">
        <f t="shared" si="15"/>
        <v>22013.254399999998</v>
      </c>
      <c r="CJ35" s="123" t="e">
        <f t="shared" si="16"/>
        <v>#REF!</v>
      </c>
      <c r="CK35" s="123" t="e">
        <f t="shared" si="17"/>
        <v>#REF!</v>
      </c>
      <c r="CL35" s="123" t="e">
        <f>SUM(AL35,#REF!,BH35,BP35,CD35)</f>
        <v>#REF!</v>
      </c>
      <c r="CM35" s="123" t="e">
        <f>SUM(AM35,#REF!,#REF!,BQ35,#REF!)</f>
        <v>#REF!</v>
      </c>
      <c r="CN35" s="123" t="e">
        <f>SUM(AN35,#REF!,#REF!,BR35,#REF!)</f>
        <v>#REF!</v>
      </c>
      <c r="CO35" s="123" t="e">
        <f>SUM(AO35,#REF!,#REF!,BS35,#REF!)</f>
        <v>#REF!</v>
      </c>
      <c r="CP35" s="123" t="e">
        <f>SUM(AP35,#REF!,#REF!,BT35,#REF!)</f>
        <v>#REF!</v>
      </c>
      <c r="CQ35" s="123" t="e">
        <f>SUM(AQ35,#REF!,#REF!,BU35,#REF!)</f>
        <v>#REF!</v>
      </c>
      <c r="CR35" s="123" t="e">
        <f>SUM(AR35,AZ35,#REF!,BV35,#REF!)</f>
        <v>#REF!</v>
      </c>
      <c r="CS35" s="123">
        <f t="shared" si="18"/>
        <v>26044.52</v>
      </c>
      <c r="CT35" s="121" t="e">
        <f t="shared" si="38"/>
        <v>#REF!</v>
      </c>
    </row>
    <row r="36" spans="1:98" ht="15" customHeight="1" thickBot="1" x14ac:dyDescent="0.3">
      <c r="A36" s="105">
        <f>+IF(B36="","",SUBTOTAL(3,B$8:B36))</f>
        <v>29</v>
      </c>
      <c r="B36" s="106" t="str">
        <f>'Detailed Report'!O32</f>
        <v>Fuddruckers - New Maadi</v>
      </c>
      <c r="C36" s="107">
        <f>TRUNC('Detailed Report'!Q32,0)</f>
        <v>46023</v>
      </c>
      <c r="D36" s="108">
        <f>'Detailed Report'!P32</f>
        <v>3375959234</v>
      </c>
      <c r="E36" s="106" t="str">
        <f>'Detailed Report'!S32</f>
        <v>Successful</v>
      </c>
      <c r="F36" s="109">
        <f>IF(E36=$E$6,('Detailed Report'!Y32),IF(E36=$E$5,(0),0))</f>
        <v>526.98</v>
      </c>
      <c r="G36" s="106">
        <f>IF(E36=$E$6,('Detailed Report'!AQ32),IF(E36=$E$5,('Detailed Report'!AW32),0))</f>
        <v>462.26316000000003</v>
      </c>
      <c r="H36" s="106">
        <f>'Detailed Report'!AS32</f>
        <v>115.56579000000001</v>
      </c>
      <c r="I36" s="106">
        <f>'Detailed Report'!AT32</f>
        <v>16.179210600000001</v>
      </c>
      <c r="J36" s="106">
        <f>'Detailed Report'!AO32</f>
        <v>0</v>
      </c>
      <c r="K36" s="106">
        <f>'Detailed Report'!AP32</f>
        <v>0</v>
      </c>
      <c r="L36" s="106">
        <f>'Detailed Report'!AU32/1.14</f>
        <v>0</v>
      </c>
      <c r="M36" s="106">
        <f>'Detailed Report'!AU32-L36</f>
        <v>0</v>
      </c>
      <c r="N36" s="110">
        <f>'Detailed Report'!AW32</f>
        <v>395.23500000000001</v>
      </c>
      <c r="O36" s="111">
        <f t="shared" si="19"/>
        <v>67.028160000000014</v>
      </c>
      <c r="P36" s="110">
        <f>'Detailed Report'!AM32</f>
        <v>0</v>
      </c>
      <c r="Q36" s="110">
        <f>'Detailed Report'!AN32</f>
        <v>0</v>
      </c>
      <c r="R36" s="110">
        <f>'Detailed Report'!AU32/1.14</f>
        <v>0</v>
      </c>
      <c r="S36" s="110">
        <f>'Detailed Report'!AU32-'........... - Otlob'!R36</f>
        <v>0</v>
      </c>
      <c r="AF36" s="127">
        <f t="shared" si="39"/>
        <v>46051</v>
      </c>
      <c r="AG36" s="116"/>
      <c r="AH36" s="117">
        <f t="shared" si="20"/>
        <v>0</v>
      </c>
      <c r="AI36" s="90">
        <f t="shared" si="21"/>
        <v>0</v>
      </c>
      <c r="AJ36" s="90" t="e">
        <f>SUMIFS(#REF!,$C$8:$C$748,AF36,$B$8:$B$748,$T$8)</f>
        <v>#REF!</v>
      </c>
      <c r="AK36" s="90" t="e">
        <f>SUMIFS(#REF!,$C$8:$C$748,AF36,$B$8:$B$748,$T$8)</f>
        <v>#REF!</v>
      </c>
      <c r="AL36" s="90" t="e">
        <f>SUMIFS(#REF!,$C$8:$C$748,AF36,$B$8:$B$748,$T$8)</f>
        <v>#REF!</v>
      </c>
      <c r="AM36" s="90" t="e">
        <f>SUMIFS(#REF!,$C$8:$C$748,AF36,$B$8:$B$748,$T$8)</f>
        <v>#REF!</v>
      </c>
      <c r="AN36" s="128" t="e">
        <f>SUMIFS(#REF!,$C$8:$C$748,AF36,$B$8:$B$748,$T$8)</f>
        <v>#REF!</v>
      </c>
      <c r="AO36" s="90" t="e">
        <f>SUMIFS(#REF!,$C$8:$C$748,AF36,$B$8:$B$748,$T$8)</f>
        <v>#REF!</v>
      </c>
      <c r="AP36" s="90" t="e">
        <f>SUMIFS(#REF!,$C$8:$C$748,AF36,$B$8:$B$748,$T$8)</f>
        <v>#REF!</v>
      </c>
      <c r="AQ36" s="90" t="e">
        <f>SUMIFS(#REF!,$C$8:$C$748,AF36,$B$8:$B$748,$T$8)</f>
        <v>#REF!</v>
      </c>
      <c r="AR36" s="90" t="e">
        <f t="shared" si="22"/>
        <v>#REF!</v>
      </c>
      <c r="AS36" s="90"/>
      <c r="AT36" s="119" t="e">
        <f t="shared" si="2"/>
        <v>#REF!</v>
      </c>
      <c r="AV36" s="197">
        <f t="shared" si="23"/>
        <v>15</v>
      </c>
      <c r="AW36" s="123">
        <f t="shared" si="24"/>
        <v>4213.0789400000003</v>
      </c>
      <c r="AX36" s="123">
        <f t="shared" si="25"/>
        <v>1053.2697400000002</v>
      </c>
      <c r="AY36" s="123">
        <f t="shared" si="26"/>
        <v>147.45776359999999</v>
      </c>
      <c r="AZ36" s="123">
        <f t="shared" si="27"/>
        <v>4802.91</v>
      </c>
      <c r="BA36" s="162">
        <v>7254.95</v>
      </c>
      <c r="BB36" s="163">
        <f t="shared" si="28"/>
        <v>-2452.04</v>
      </c>
      <c r="BD36" s="122">
        <f t="shared" si="29"/>
        <v>0</v>
      </c>
      <c r="BE36" s="123">
        <f t="shared" si="30"/>
        <v>3149.7456200000001</v>
      </c>
      <c r="BF36" s="123">
        <f t="shared" si="31"/>
        <v>787.43640000000005</v>
      </c>
      <c r="BG36" s="123">
        <f t="shared" si="32"/>
        <v>110.241096</v>
      </c>
      <c r="BH36" s="123">
        <f t="shared" si="33"/>
        <v>3590.71</v>
      </c>
      <c r="BI36" s="162">
        <v>3951.46</v>
      </c>
      <c r="BJ36" s="163">
        <f t="shared" si="7"/>
        <v>-360.75</v>
      </c>
      <c r="BL36" s="124">
        <f t="shared" si="8"/>
        <v>0</v>
      </c>
      <c r="BM36" s="102">
        <f t="shared" si="9"/>
        <v>0</v>
      </c>
      <c r="BN36" s="102" t="e">
        <f>SUMIFS(#REF!,$C$8:$C$748,AF36,$B$8:$B$748,$T$11)</f>
        <v>#REF!</v>
      </c>
      <c r="BO36" s="102" t="e">
        <f>SUMIFS(#REF!,$C$8:$C$748,AF36,$B$8:$B$748,$T$11)</f>
        <v>#REF!</v>
      </c>
      <c r="BP36" s="102" t="e">
        <f>SUMIFS(#REF!,$C$8:$C$748,AF36,$B$8:$B$748,$T$11)</f>
        <v>#REF!</v>
      </c>
      <c r="BQ36" s="102" t="e">
        <f>SUMIFS(#REF!,$C$8:$C$748,AF36,$B$8:$B$748,$T$11)</f>
        <v>#REF!</v>
      </c>
      <c r="BR36" s="125" t="e">
        <f>SUMIFS(#REF!,$C$8:$C$748,AF36,$B$8:$B$748,$T$11)</f>
        <v>#REF!</v>
      </c>
      <c r="BS36" s="102" t="e">
        <f>SUMIFS(#REF!,$C$8:$C$748,AF36,$B$8:$B$748,$T$11)</f>
        <v>#REF!</v>
      </c>
      <c r="BT36" s="102" t="e">
        <f>SUMIFS(#REF!,$C$8:$C$748,AF36,$B$8:$B$748,$T$11)</f>
        <v>#REF!</v>
      </c>
      <c r="BU36" s="102" t="e">
        <f>SUMIFS(#REF!,$C$8:$C$748,AF36,$B$8:$B$748,$T$11)</f>
        <v>#REF!</v>
      </c>
      <c r="BV36" s="102" t="e">
        <f t="shared" si="34"/>
        <v>#REF!</v>
      </c>
      <c r="BW36" s="102">
        <v>0</v>
      </c>
      <c r="BX36" s="126" t="e">
        <f t="shared" si="10"/>
        <v>#REF!</v>
      </c>
      <c r="BZ36" s="122">
        <f t="shared" si="11"/>
        <v>0</v>
      </c>
      <c r="CA36" s="123">
        <f t="shared" si="12"/>
        <v>11487.350869999998</v>
      </c>
      <c r="CB36" s="123">
        <f t="shared" si="35"/>
        <v>1890.0087799999999</v>
      </c>
      <c r="CC36" s="123">
        <f t="shared" si="36"/>
        <v>264.60122920000003</v>
      </c>
      <c r="CD36" s="123">
        <f t="shared" si="37"/>
        <v>8618.4399999999987</v>
      </c>
      <c r="CE36" s="162">
        <v>12879.7</v>
      </c>
      <c r="CF36" s="163">
        <f t="shared" si="13"/>
        <v>-4261.260000000002</v>
      </c>
      <c r="CH36" s="134">
        <f t="shared" si="14"/>
        <v>15</v>
      </c>
      <c r="CI36" s="123">
        <f t="shared" si="15"/>
        <v>18850.175429999999</v>
      </c>
      <c r="CJ36" s="123" t="e">
        <f t="shared" si="16"/>
        <v>#REF!</v>
      </c>
      <c r="CK36" s="123" t="e">
        <f t="shared" si="17"/>
        <v>#REF!</v>
      </c>
      <c r="CL36" s="123" t="e">
        <f>SUM(AL36,#REF!,BH36,BP36,CD36)</f>
        <v>#REF!</v>
      </c>
      <c r="CM36" s="123" t="e">
        <f>SUM(AM36,#REF!,#REF!,BQ36,#REF!)</f>
        <v>#REF!</v>
      </c>
      <c r="CN36" s="123" t="e">
        <f>SUM(AN36,#REF!,#REF!,BR36,#REF!)</f>
        <v>#REF!</v>
      </c>
      <c r="CO36" s="123" t="e">
        <f>SUM(AO36,#REF!,#REF!,BS36,#REF!)</f>
        <v>#REF!</v>
      </c>
      <c r="CP36" s="123" t="e">
        <f>SUM(AP36,#REF!,#REF!,BT36,#REF!)</f>
        <v>#REF!</v>
      </c>
      <c r="CQ36" s="123" t="e">
        <f>SUM(AQ36,#REF!,#REF!,BU36,#REF!)</f>
        <v>#REF!</v>
      </c>
      <c r="CR36" s="123" t="e">
        <f>SUM(AR36,AZ36,#REF!,BV36,#REF!)</f>
        <v>#REF!</v>
      </c>
      <c r="CS36" s="123">
        <f t="shared" si="18"/>
        <v>24086.11</v>
      </c>
      <c r="CT36" s="121" t="e">
        <f t="shared" si="38"/>
        <v>#REF!</v>
      </c>
    </row>
    <row r="37" spans="1:98" ht="15" customHeight="1" thickBot="1" x14ac:dyDescent="0.3">
      <c r="A37" s="105">
        <f>+IF(B37="","",SUBTOTAL(3,B$8:B37))</f>
        <v>30</v>
      </c>
      <c r="B37" s="106" t="str">
        <f>'Detailed Report'!O33</f>
        <v>Fuddruckers - Concord Plaza Mall</v>
      </c>
      <c r="C37" s="107">
        <f>TRUNC('Detailed Report'!Q33,0)</f>
        <v>46023</v>
      </c>
      <c r="D37" s="108">
        <f>'Detailed Report'!P33</f>
        <v>3375973096</v>
      </c>
      <c r="E37" s="106" t="str">
        <f>'Detailed Report'!S33</f>
        <v>Successful</v>
      </c>
      <c r="F37" s="109">
        <f>IF(E37=$E$6,('Detailed Report'!Y33),IF(E37=$E$5,(0),0))</f>
        <v>1058.96</v>
      </c>
      <c r="G37" s="106">
        <f>IF(E37=$E$6,('Detailed Report'!AQ33),IF(E37=$E$5,('Detailed Report'!AW33),0))</f>
        <v>928.91228000000001</v>
      </c>
      <c r="H37" s="106">
        <f>'Detailed Report'!AS33</f>
        <v>232.22807</v>
      </c>
      <c r="I37" s="106">
        <f>'Detailed Report'!AT33</f>
        <v>32.511929799999997</v>
      </c>
      <c r="J37" s="106">
        <f>'Detailed Report'!AO33</f>
        <v>0</v>
      </c>
      <c r="K37" s="106">
        <f>'Detailed Report'!AP33</f>
        <v>0</v>
      </c>
      <c r="L37" s="106">
        <f>'Detailed Report'!AU33/1.14</f>
        <v>30.692982456140356</v>
      </c>
      <c r="M37" s="106">
        <f>'Detailed Report'!AU33-L37</f>
        <v>4.2970175438596456</v>
      </c>
      <c r="N37" s="110">
        <f>'Detailed Report'!AW33</f>
        <v>759.23</v>
      </c>
      <c r="O37" s="111">
        <f t="shared" si="19"/>
        <v>169.68227999999999</v>
      </c>
      <c r="P37" s="110">
        <f>'Detailed Report'!AM33</f>
        <v>0</v>
      </c>
      <c r="Q37" s="110">
        <f>'Detailed Report'!AN33</f>
        <v>0</v>
      </c>
      <c r="R37" s="110">
        <f>'Detailed Report'!AU33/1.14</f>
        <v>30.692982456140356</v>
      </c>
      <c r="S37" s="110">
        <f>'Detailed Report'!AU33-'........... - Otlob'!R37</f>
        <v>4.2970175438596456</v>
      </c>
      <c r="AF37" s="127">
        <f t="shared" si="39"/>
        <v>46052</v>
      </c>
      <c r="AG37" s="116"/>
      <c r="AH37" s="117">
        <f t="shared" si="20"/>
        <v>0</v>
      </c>
      <c r="AI37" s="90">
        <f t="shared" si="21"/>
        <v>0</v>
      </c>
      <c r="AJ37" s="90" t="e">
        <f>SUMIFS(#REF!,$C$8:$C$748,AF37,$B$8:$B$748,$T$8)</f>
        <v>#REF!</v>
      </c>
      <c r="AK37" s="90" t="e">
        <f>SUMIFS(#REF!,$C$8:$C$748,AF37,$B$8:$B$748,$T$8)</f>
        <v>#REF!</v>
      </c>
      <c r="AL37" s="90" t="e">
        <f>SUMIFS(#REF!,$C$8:$C$748,AF37,$B$8:$B$748,$T$8)</f>
        <v>#REF!</v>
      </c>
      <c r="AM37" s="90" t="e">
        <f>SUMIFS(#REF!,$C$8:$C$748,AF37,$B$8:$B$748,$T$8)</f>
        <v>#REF!</v>
      </c>
      <c r="AN37" s="128" t="e">
        <f>SUMIFS(#REF!,$C$8:$C$748,AF37,$B$8:$B$748,$T$8)</f>
        <v>#REF!</v>
      </c>
      <c r="AO37" s="90" t="e">
        <f>SUMIFS(#REF!,$C$8:$C$748,AF37,$B$8:$B$748,$T$8)</f>
        <v>#REF!</v>
      </c>
      <c r="AP37" s="90" t="e">
        <f>SUMIFS(#REF!,$C$8:$C$748,AF37,$B$8:$B$748,$T$8)</f>
        <v>#REF!</v>
      </c>
      <c r="AQ37" s="90" t="e">
        <f>SUMIFS(#REF!,$C$8:$C$748,AF37,$B$8:$B$748,$T$8)</f>
        <v>#REF!</v>
      </c>
      <c r="AR37" s="90" t="e">
        <f t="shared" si="22"/>
        <v>#REF!</v>
      </c>
      <c r="AS37" s="90"/>
      <c r="AT37" s="119" t="e">
        <f t="shared" si="2"/>
        <v>#REF!</v>
      </c>
      <c r="AV37" s="197">
        <f t="shared" si="23"/>
        <v>15</v>
      </c>
      <c r="AW37" s="123">
        <f t="shared" si="24"/>
        <v>0</v>
      </c>
      <c r="AX37" s="123">
        <f t="shared" si="25"/>
        <v>0</v>
      </c>
      <c r="AY37" s="123">
        <f t="shared" si="26"/>
        <v>0</v>
      </c>
      <c r="AZ37" s="123">
        <f t="shared" si="27"/>
        <v>0</v>
      </c>
      <c r="BA37" s="162">
        <v>8106.55</v>
      </c>
      <c r="BB37" s="163">
        <f t="shared" si="28"/>
        <v>-8106.55</v>
      </c>
      <c r="BD37" s="122">
        <f t="shared" si="29"/>
        <v>0</v>
      </c>
      <c r="BE37" s="123">
        <f t="shared" si="30"/>
        <v>2435.58772</v>
      </c>
      <c r="BF37" s="123">
        <f t="shared" si="31"/>
        <v>0</v>
      </c>
      <c r="BG37" s="123">
        <f t="shared" si="32"/>
        <v>0</v>
      </c>
      <c r="BH37" s="123">
        <f t="shared" si="33"/>
        <v>0</v>
      </c>
      <c r="BI37" s="162">
        <v>2762.2</v>
      </c>
      <c r="BJ37" s="163">
        <f t="shared" si="7"/>
        <v>-2762.2</v>
      </c>
      <c r="BL37" s="124">
        <f t="shared" si="8"/>
        <v>0</v>
      </c>
      <c r="BM37" s="102">
        <f t="shared" si="9"/>
        <v>0</v>
      </c>
      <c r="BN37" s="102" t="e">
        <f>SUMIFS(#REF!,$C$8:$C$748,AF37,$B$8:$B$748,$T$11)</f>
        <v>#REF!</v>
      </c>
      <c r="BO37" s="102" t="e">
        <f>SUMIFS(#REF!,$C$8:$C$748,AF37,$B$8:$B$748,$T$11)</f>
        <v>#REF!</v>
      </c>
      <c r="BP37" s="102" t="e">
        <f>SUMIFS(#REF!,$C$8:$C$748,AF37,$B$8:$B$748,$T$11)</f>
        <v>#REF!</v>
      </c>
      <c r="BQ37" s="102" t="e">
        <f>SUMIFS(#REF!,$C$8:$C$748,AF37,$B$8:$B$748,$T$11)</f>
        <v>#REF!</v>
      </c>
      <c r="BR37" s="125" t="e">
        <f>SUMIFS(#REF!,$C$8:$C$748,AF37,$B$8:$B$748,$T$11)</f>
        <v>#REF!</v>
      </c>
      <c r="BS37" s="102" t="e">
        <f>SUMIFS(#REF!,$C$8:$C$748,AF37,$B$8:$B$748,$T$11)</f>
        <v>#REF!</v>
      </c>
      <c r="BT37" s="102" t="e">
        <f>SUMIFS(#REF!,$C$8:$C$748,AF37,$B$8:$B$748,$T$11)</f>
        <v>#REF!</v>
      </c>
      <c r="BU37" s="102" t="e">
        <f>SUMIFS(#REF!,$C$8:$C$748,AF37,$B$8:$B$748,$T$11)</f>
        <v>#REF!</v>
      </c>
      <c r="BV37" s="102" t="e">
        <f t="shared" si="34"/>
        <v>#REF!</v>
      </c>
      <c r="BW37" s="102">
        <v>0</v>
      </c>
      <c r="BX37" s="126" t="e">
        <f t="shared" si="10"/>
        <v>#REF!</v>
      </c>
      <c r="BZ37" s="122">
        <f t="shared" si="11"/>
        <v>0</v>
      </c>
      <c r="CA37" s="123">
        <f t="shared" si="12"/>
        <v>15765.438620000003</v>
      </c>
      <c r="CB37" s="123">
        <f t="shared" si="35"/>
        <v>0</v>
      </c>
      <c r="CC37" s="123">
        <f t="shared" si="36"/>
        <v>0</v>
      </c>
      <c r="CD37" s="123">
        <f t="shared" si="37"/>
        <v>0</v>
      </c>
      <c r="CE37" s="162">
        <v>18204.599999999999</v>
      </c>
      <c r="CF37" s="163">
        <f t="shared" si="13"/>
        <v>-18204.599999999999</v>
      </c>
      <c r="CH37" s="129">
        <f t="shared" si="14"/>
        <v>15</v>
      </c>
      <c r="CI37" s="123">
        <f t="shared" si="15"/>
        <v>18201.026340000004</v>
      </c>
      <c r="CJ37" s="123" t="e">
        <f t="shared" si="16"/>
        <v>#REF!</v>
      </c>
      <c r="CK37" s="123" t="e">
        <f t="shared" si="17"/>
        <v>#REF!</v>
      </c>
      <c r="CL37" s="123" t="e">
        <f>SUM(AL37,#REF!,BH37,BP37,CD37)</f>
        <v>#REF!</v>
      </c>
      <c r="CM37" s="123" t="e">
        <f>SUM(AM37,#REF!,#REF!,BQ37,#REF!)</f>
        <v>#REF!</v>
      </c>
      <c r="CN37" s="123" t="e">
        <f>SUM(AN37,#REF!,#REF!,BR37,#REF!)</f>
        <v>#REF!</v>
      </c>
      <c r="CO37" s="123" t="e">
        <f>SUM(AO37,#REF!,#REF!,BS37,#REF!)</f>
        <v>#REF!</v>
      </c>
      <c r="CP37" s="123" t="e">
        <f>SUM(AP37,#REF!,#REF!,BT37,#REF!)</f>
        <v>#REF!</v>
      </c>
      <c r="CQ37" s="123" t="e">
        <f>SUM(AQ37,#REF!,#REF!,BU37,#REF!)</f>
        <v>#REF!</v>
      </c>
      <c r="CR37" s="123" t="e">
        <f>SUM(AR37,AZ37,#REF!,BV37,#REF!)</f>
        <v>#REF!</v>
      </c>
      <c r="CS37" s="123">
        <f t="shared" si="18"/>
        <v>29073.35</v>
      </c>
      <c r="CT37" s="121" t="e">
        <f t="shared" si="38"/>
        <v>#REF!</v>
      </c>
    </row>
    <row r="38" spans="1:98" ht="15" customHeight="1" thickBot="1" x14ac:dyDescent="0.3">
      <c r="A38" s="105">
        <f>+IF(B38="","",SUBTOTAL(3,B$8:B38))</f>
        <v>31</v>
      </c>
      <c r="B38" s="106" t="str">
        <f>'Detailed Report'!O34</f>
        <v>Fuddruckers - New Maadi</v>
      </c>
      <c r="C38" s="107">
        <f>TRUNC('Detailed Report'!Q34,0)</f>
        <v>46023</v>
      </c>
      <c r="D38" s="108">
        <f>'Detailed Report'!P34</f>
        <v>3376036177</v>
      </c>
      <c r="E38" s="106" t="str">
        <f>'Detailed Report'!S34</f>
        <v>Successful</v>
      </c>
      <c r="F38" s="109">
        <f>IF(E38=$E$6,('Detailed Report'!Y34),IF(E38=$E$5,(0),0))</f>
        <v>569.98</v>
      </c>
      <c r="G38" s="106">
        <f>IF(E38=$E$6,('Detailed Report'!AQ34),IF(E38=$E$5,('Detailed Report'!AW34),0))</f>
        <v>499.98246</v>
      </c>
      <c r="H38" s="106">
        <f>'Detailed Report'!AS34</f>
        <v>124.99562</v>
      </c>
      <c r="I38" s="106">
        <f>'Detailed Report'!AT34</f>
        <v>17.4993868</v>
      </c>
      <c r="J38" s="106">
        <f>'Detailed Report'!AO34</f>
        <v>9.9746500000000005</v>
      </c>
      <c r="K38" s="106">
        <f>'Detailed Report'!AP34</f>
        <v>1.3964510000000001</v>
      </c>
      <c r="L38" s="106">
        <f>'Detailed Report'!AU34/1.14</f>
        <v>26.307017543859651</v>
      </c>
      <c r="M38" s="106">
        <f>'Detailed Report'!AU34-L38</f>
        <v>3.6829824561403477</v>
      </c>
      <c r="N38" s="110">
        <f>'Detailed Report'!AW34</f>
        <v>386.12400000000002</v>
      </c>
      <c r="O38" s="111">
        <f t="shared" si="19"/>
        <v>113.85845999999998</v>
      </c>
      <c r="P38" s="110">
        <f>'Detailed Report'!AM34</f>
        <v>0</v>
      </c>
      <c r="Q38" s="110">
        <f>'Detailed Report'!AN34</f>
        <v>0</v>
      </c>
      <c r="R38" s="110">
        <f>'Detailed Report'!AU34/1.14</f>
        <v>26.307017543859651</v>
      </c>
      <c r="S38" s="110">
        <f>'Detailed Report'!AU34-'........... - Otlob'!R38</f>
        <v>3.6829824561403477</v>
      </c>
      <c r="AF38" s="127">
        <f t="shared" si="39"/>
        <v>46053</v>
      </c>
      <c r="AG38" s="116"/>
      <c r="AH38" s="135">
        <f t="shared" si="20"/>
        <v>0</v>
      </c>
      <c r="AI38" s="136">
        <f t="shared" si="21"/>
        <v>0</v>
      </c>
      <c r="AJ38" s="136" t="e">
        <f>SUMIFS(#REF!,$C$8:$C$748,AF38,$B$8:$B$748,$T$8)</f>
        <v>#REF!</v>
      </c>
      <c r="AK38" s="136" t="e">
        <f>SUMIFS(#REF!,$C$8:$C$748,AF38,$B$8:$B$748,$T$8)</f>
        <v>#REF!</v>
      </c>
      <c r="AL38" s="136" t="e">
        <f>SUMIFS(#REF!,$C$8:$C$748,AF38,$B$8:$B$748,$T$8)</f>
        <v>#REF!</v>
      </c>
      <c r="AM38" s="136" t="e">
        <f>SUMIFS(#REF!,$C$8:$C$748,AF38,$B$8:$B$748,$T$8)</f>
        <v>#REF!</v>
      </c>
      <c r="AN38" s="137" t="e">
        <f>SUMIFS(#REF!,$C$8:$C$748,AF38,$B$8:$B$748,$T$8)</f>
        <v>#REF!</v>
      </c>
      <c r="AO38" s="136" t="e">
        <f>SUMIFS(#REF!,$C$8:$C$748,AF38,$B$8:$B$748,$T$8)</f>
        <v>#REF!</v>
      </c>
      <c r="AP38" s="136" t="e">
        <f>SUMIFS(#REF!,$C$8:$C$748,AF38,$B$8:$B$748,$T$8)</f>
        <v>#REF!</v>
      </c>
      <c r="AQ38" s="136" t="e">
        <f>SUMIFS(#REF!,$C$8:$C$748,AF38,$B$8:$B$748,$T$8)</f>
        <v>#REF!</v>
      </c>
      <c r="AR38" s="136" t="e">
        <f t="shared" si="22"/>
        <v>#REF!</v>
      </c>
      <c r="AS38" s="136"/>
      <c r="AT38" s="119" t="e">
        <f t="shared" si="2"/>
        <v>#REF!</v>
      </c>
      <c r="AV38" s="197">
        <f t="shared" si="23"/>
        <v>11</v>
      </c>
      <c r="AW38" s="123">
        <f t="shared" si="24"/>
        <v>0</v>
      </c>
      <c r="AX38" s="123">
        <f t="shared" si="25"/>
        <v>0</v>
      </c>
      <c r="AY38" s="123">
        <f t="shared" si="26"/>
        <v>0</v>
      </c>
      <c r="AZ38" s="123">
        <f t="shared" si="27"/>
        <v>0</v>
      </c>
      <c r="BA38" s="162">
        <v>6022.65</v>
      </c>
      <c r="BB38" s="163">
        <f t="shared" si="28"/>
        <v>-6022.65</v>
      </c>
      <c r="BD38" s="122">
        <f t="shared" si="29"/>
        <v>0</v>
      </c>
      <c r="BE38" s="123">
        <f t="shared" si="30"/>
        <v>1318.67544</v>
      </c>
      <c r="BF38" s="123">
        <f t="shared" si="31"/>
        <v>0</v>
      </c>
      <c r="BG38" s="123">
        <f t="shared" si="32"/>
        <v>0</v>
      </c>
      <c r="BH38" s="123">
        <f t="shared" si="33"/>
        <v>0</v>
      </c>
      <c r="BI38" s="162">
        <v>2684.75</v>
      </c>
      <c r="BJ38" s="163">
        <f t="shared" si="7"/>
        <v>-2684.75</v>
      </c>
      <c r="BL38" s="138">
        <f t="shared" si="8"/>
        <v>0</v>
      </c>
      <c r="BM38" s="102">
        <f t="shared" si="9"/>
        <v>0</v>
      </c>
      <c r="BN38" s="102" t="e">
        <f>SUMIFS(#REF!,$C$8:$C$748,AF38,$B$8:$B$748,$T$11)</f>
        <v>#REF!</v>
      </c>
      <c r="BO38" s="102" t="e">
        <f>SUMIFS(#REF!,$C$8:$C$748,AF38,$B$8:$B$748,$T$11)</f>
        <v>#REF!</v>
      </c>
      <c r="BP38" s="102" t="e">
        <f>SUMIFS(#REF!,$C$8:$C$748,AF38,$B$8:$B$748,$T$11)</f>
        <v>#REF!</v>
      </c>
      <c r="BQ38" s="102" t="e">
        <f>SUMIFS(#REF!,$C$8:$C$748,AF38,$B$8:$B$748,$T$11)</f>
        <v>#REF!</v>
      </c>
      <c r="BR38" s="125" t="e">
        <f>SUMIFS(#REF!,$C$8:$C$748,AF38,$B$8:$B$748,$T$11)</f>
        <v>#REF!</v>
      </c>
      <c r="BS38" s="102" t="e">
        <f>SUMIFS(#REF!,$C$8:$C$748,AF38,$B$8:$B$748,$T$11)</f>
        <v>#REF!</v>
      </c>
      <c r="BT38" s="102" t="e">
        <f>SUMIFS(#REF!,$C$8:$C$748,AF38,$B$8:$B$748,$T$11)</f>
        <v>#REF!</v>
      </c>
      <c r="BU38" s="102" t="e">
        <f>SUMIFS(#REF!,$C$8:$C$748,AF38,$B$8:$B$748,$T$11)</f>
        <v>#REF!</v>
      </c>
      <c r="BV38" s="102" t="e">
        <f t="shared" si="34"/>
        <v>#REF!</v>
      </c>
      <c r="BW38" s="102">
        <v>0</v>
      </c>
      <c r="BX38" s="126" t="e">
        <f t="shared" si="10"/>
        <v>#REF!</v>
      </c>
      <c r="BZ38" s="122">
        <f t="shared" si="11"/>
        <v>0</v>
      </c>
      <c r="CA38" s="123">
        <f t="shared" si="12"/>
        <v>8694.7456199999997</v>
      </c>
      <c r="CB38" s="123">
        <f t="shared" si="35"/>
        <v>0</v>
      </c>
      <c r="CC38" s="123">
        <f t="shared" si="36"/>
        <v>0</v>
      </c>
      <c r="CD38" s="123">
        <f t="shared" si="37"/>
        <v>0</v>
      </c>
      <c r="CE38" s="162">
        <v>13201.17</v>
      </c>
      <c r="CF38" s="163">
        <f t="shared" si="13"/>
        <v>-13201.17</v>
      </c>
      <c r="CH38" s="129">
        <f t="shared" si="14"/>
        <v>11</v>
      </c>
      <c r="CI38" s="139">
        <f t="shared" si="15"/>
        <v>10013.421060000001</v>
      </c>
      <c r="CJ38" s="139" t="e">
        <f t="shared" si="16"/>
        <v>#REF!</v>
      </c>
      <c r="CK38" s="139" t="e">
        <f t="shared" si="17"/>
        <v>#REF!</v>
      </c>
      <c r="CL38" s="139" t="e">
        <f>SUM(AL38,#REF!,BH38,BP38,CD38)</f>
        <v>#REF!</v>
      </c>
      <c r="CM38" s="139" t="e">
        <f>SUM(AM38,#REF!,#REF!,BQ38,#REF!)</f>
        <v>#REF!</v>
      </c>
      <c r="CN38" s="139" t="e">
        <f>SUM(AN38,#REF!,#REF!,BR38,#REF!)</f>
        <v>#REF!</v>
      </c>
      <c r="CO38" s="139" t="e">
        <f>SUM(AO38,#REF!,#REF!,BS38,#REF!)</f>
        <v>#REF!</v>
      </c>
      <c r="CP38" s="139" t="e">
        <f>SUM(AP38,#REF!,#REF!,BT38,#REF!)</f>
        <v>#REF!</v>
      </c>
      <c r="CQ38" s="139" t="e">
        <f>SUM(AQ38,#REF!,#REF!,BU38,#REF!)</f>
        <v>#REF!</v>
      </c>
      <c r="CR38" s="139" t="e">
        <f>SUM(AR38,AZ38,#REF!,BV38,#REF!)</f>
        <v>#REF!</v>
      </c>
      <c r="CS38" s="139">
        <f t="shared" si="18"/>
        <v>21908.57</v>
      </c>
      <c r="CT38" s="121" t="e">
        <f t="shared" si="38"/>
        <v>#REF!</v>
      </c>
    </row>
    <row r="39" spans="1:98" ht="15.6" customHeight="1" thickTop="1" thickBot="1" x14ac:dyDescent="0.3">
      <c r="A39" s="105">
        <f>+IF(B39="","",SUBTOTAL(3,B$8:B39))</f>
        <v>32</v>
      </c>
      <c r="B39" s="106" t="str">
        <f>'Detailed Report'!O35</f>
        <v>Fuddruckers - Concord Plaza Mall</v>
      </c>
      <c r="C39" s="107">
        <f>TRUNC('Detailed Report'!Q35,0)</f>
        <v>46023</v>
      </c>
      <c r="D39" s="108">
        <f>'Detailed Report'!P35</f>
        <v>3376054134</v>
      </c>
      <c r="E39" s="106" t="str">
        <f>'Detailed Report'!S35</f>
        <v>Successful</v>
      </c>
      <c r="F39" s="109">
        <f>IF(E39=$E$6,('Detailed Report'!Y35),IF(E39=$E$5,(0),0))</f>
        <v>330.82</v>
      </c>
      <c r="G39" s="106">
        <f>IF(E39=$E$6,('Detailed Report'!AQ35),IF(E39=$E$5,('Detailed Report'!AW35),0))</f>
        <v>290.19297999999998</v>
      </c>
      <c r="H39" s="106">
        <f>'Detailed Report'!AS35</f>
        <v>72.548249999999996</v>
      </c>
      <c r="I39" s="106">
        <f>'Detailed Report'!AT35</f>
        <v>10.156755</v>
      </c>
      <c r="J39" s="106">
        <f>'Detailed Report'!AO35</f>
        <v>0</v>
      </c>
      <c r="K39" s="106">
        <f>'Detailed Report'!AP35</f>
        <v>0</v>
      </c>
      <c r="L39" s="106">
        <f>'Detailed Report'!AU35/1.14</f>
        <v>0</v>
      </c>
      <c r="M39" s="106">
        <f>'Detailed Report'!AU35-L39</f>
        <v>0</v>
      </c>
      <c r="N39" s="110">
        <f>'Detailed Report'!AW35</f>
        <v>248.11500000000001</v>
      </c>
      <c r="O39" s="111">
        <f t="shared" si="19"/>
        <v>42.077979999999968</v>
      </c>
      <c r="P39" s="110">
        <f>'Detailed Report'!AM35</f>
        <v>0</v>
      </c>
      <c r="Q39" s="110">
        <f>'Detailed Report'!AN35</f>
        <v>0</v>
      </c>
      <c r="R39" s="110">
        <f>'Detailed Report'!AU35/1.14</f>
        <v>0</v>
      </c>
      <c r="S39" s="110">
        <f>'Detailed Report'!AU35-'........... - Otlob'!R39</f>
        <v>0</v>
      </c>
      <c r="AF39" s="140" t="s">
        <v>76</v>
      </c>
      <c r="AH39" s="141">
        <f t="shared" ref="AH39:AT39" si="41">SUBTOTAL(9,AH8:AH38)</f>
        <v>0</v>
      </c>
      <c r="AI39" s="142">
        <f t="shared" si="41"/>
        <v>0</v>
      </c>
      <c r="AJ39" s="142" t="e">
        <f t="shared" si="41"/>
        <v>#REF!</v>
      </c>
      <c r="AK39" s="142" t="e">
        <f t="shared" si="41"/>
        <v>#REF!</v>
      </c>
      <c r="AL39" s="142" t="e">
        <f t="shared" si="41"/>
        <v>#REF!</v>
      </c>
      <c r="AM39" s="142" t="e">
        <f t="shared" si="41"/>
        <v>#REF!</v>
      </c>
      <c r="AN39" s="143" t="e">
        <f t="shared" si="41"/>
        <v>#REF!</v>
      </c>
      <c r="AO39" s="142" t="e">
        <f t="shared" si="41"/>
        <v>#REF!</v>
      </c>
      <c r="AP39" s="142" t="e">
        <f t="shared" si="41"/>
        <v>#REF!</v>
      </c>
      <c r="AQ39" s="142" t="e">
        <f t="shared" si="41"/>
        <v>#REF!</v>
      </c>
      <c r="AR39" s="142" t="e">
        <f t="shared" si="41"/>
        <v>#REF!</v>
      </c>
      <c r="AS39" s="142">
        <f t="shared" si="41"/>
        <v>0</v>
      </c>
      <c r="AT39" s="144" t="e">
        <f t="shared" si="41"/>
        <v>#REF!</v>
      </c>
      <c r="AV39" s="198">
        <f t="shared" ref="AV39:BB39" si="42">SUBTOTAL(9,AV8:AV38)</f>
        <v>381</v>
      </c>
      <c r="AW39" s="148">
        <f t="shared" si="42"/>
        <v>183663.12160999997</v>
      </c>
      <c r="AX39" s="148">
        <f t="shared" si="42"/>
        <v>46240.285540000004</v>
      </c>
      <c r="AY39" s="148">
        <f t="shared" si="42"/>
        <v>6473.6399755999992</v>
      </c>
      <c r="AZ39" s="148">
        <f t="shared" si="42"/>
        <v>209392.30000000002</v>
      </c>
      <c r="BA39" s="148">
        <f t="shared" si="42"/>
        <v>226913.36999999997</v>
      </c>
      <c r="BB39" s="146">
        <f t="shared" si="42"/>
        <v>-17521.070000000011</v>
      </c>
      <c r="BD39" s="147">
        <f t="shared" ref="BD39:BJ39" si="43">SUBTOTAL(9,BD8:BD38)</f>
        <v>94</v>
      </c>
      <c r="BE39" s="148">
        <f t="shared" si="43"/>
        <v>54962.061369999996</v>
      </c>
      <c r="BF39" s="148">
        <f t="shared" si="43"/>
        <v>12801.949630000001</v>
      </c>
      <c r="BG39" s="148">
        <f t="shared" si="43"/>
        <v>1792.2729482000004</v>
      </c>
      <c r="BH39" s="148">
        <f t="shared" si="43"/>
        <v>58376.89</v>
      </c>
      <c r="BI39" s="145">
        <f t="shared" si="43"/>
        <v>64108.789999999994</v>
      </c>
      <c r="BJ39" s="146">
        <f t="shared" si="43"/>
        <v>-5731.9</v>
      </c>
      <c r="BL39" s="149">
        <f t="shared" ref="BL39:BX39" si="44">SUBTOTAL(9,BL8:BL38)</f>
        <v>0</v>
      </c>
      <c r="BM39" s="150">
        <f t="shared" si="44"/>
        <v>0</v>
      </c>
      <c r="BN39" s="150" t="e">
        <f t="shared" si="44"/>
        <v>#REF!</v>
      </c>
      <c r="BO39" s="150" t="e">
        <f t="shared" si="44"/>
        <v>#REF!</v>
      </c>
      <c r="BP39" s="150" t="e">
        <f t="shared" si="44"/>
        <v>#REF!</v>
      </c>
      <c r="BQ39" s="150" t="e">
        <f t="shared" si="44"/>
        <v>#REF!</v>
      </c>
      <c r="BR39" s="151" t="e">
        <f t="shared" si="44"/>
        <v>#REF!</v>
      </c>
      <c r="BS39" s="150" t="e">
        <f t="shared" si="44"/>
        <v>#REF!</v>
      </c>
      <c r="BT39" s="150" t="e">
        <f t="shared" si="44"/>
        <v>#REF!</v>
      </c>
      <c r="BU39" s="150" t="e">
        <f t="shared" si="44"/>
        <v>#REF!</v>
      </c>
      <c r="BV39" s="150" t="e">
        <f t="shared" si="44"/>
        <v>#REF!</v>
      </c>
      <c r="BW39" s="150">
        <f t="shared" si="44"/>
        <v>0</v>
      </c>
      <c r="BX39" s="152" t="e">
        <f t="shared" si="44"/>
        <v>#REF!</v>
      </c>
      <c r="BZ39" s="147">
        <f t="shared" ref="BZ39:CF39" si="45">SUBTOTAL(9,BZ8:BZ38)</f>
        <v>382</v>
      </c>
      <c r="CA39" s="148">
        <f t="shared" si="45"/>
        <v>292968.19682000001</v>
      </c>
      <c r="CB39" s="148">
        <f t="shared" si="45"/>
        <v>66799.081659999996</v>
      </c>
      <c r="CC39" s="148">
        <f t="shared" si="45"/>
        <v>9351.8714323999975</v>
      </c>
      <c r="CD39" s="148">
        <f t="shared" si="45"/>
        <v>300506.27</v>
      </c>
      <c r="CE39" s="148">
        <f t="shared" si="45"/>
        <v>335913.35</v>
      </c>
      <c r="CF39" s="153">
        <f t="shared" si="45"/>
        <v>-35407.080000000024</v>
      </c>
      <c r="CH39" s="154">
        <f t="shared" ref="CH39:CT39" si="46">SUBTOTAL(9,CH8:CH38)</f>
        <v>857</v>
      </c>
      <c r="CI39" s="155">
        <f t="shared" si="46"/>
        <v>531593.3798</v>
      </c>
      <c r="CJ39" s="155" t="e">
        <f t="shared" si="46"/>
        <v>#REF!</v>
      </c>
      <c r="CK39" s="155" t="e">
        <f t="shared" si="46"/>
        <v>#REF!</v>
      </c>
      <c r="CL39" s="155" t="e">
        <f t="shared" si="46"/>
        <v>#REF!</v>
      </c>
      <c r="CM39" s="155" t="e">
        <f t="shared" si="46"/>
        <v>#REF!</v>
      </c>
      <c r="CN39" s="155" t="e">
        <f t="shared" si="46"/>
        <v>#REF!</v>
      </c>
      <c r="CO39" s="155" t="e">
        <f t="shared" si="46"/>
        <v>#REF!</v>
      </c>
      <c r="CP39" s="155" t="e">
        <f t="shared" si="46"/>
        <v>#REF!</v>
      </c>
      <c r="CQ39" s="155" t="e">
        <f t="shared" si="46"/>
        <v>#REF!</v>
      </c>
      <c r="CR39" s="155" t="e">
        <f t="shared" si="46"/>
        <v>#REF!</v>
      </c>
      <c r="CS39" s="155">
        <f t="shared" si="46"/>
        <v>626935.51</v>
      </c>
      <c r="CT39" s="156" t="e">
        <f t="shared" si="46"/>
        <v>#REF!</v>
      </c>
    </row>
    <row r="40" spans="1:98" s="15" customFormat="1" ht="15" customHeight="1" thickTop="1" x14ac:dyDescent="0.25">
      <c r="A40" s="105">
        <f>+IF(B40="","",SUBTOTAL(3,B$8:B40))</f>
        <v>33</v>
      </c>
      <c r="B40" s="106" t="str">
        <f>'Detailed Report'!O36</f>
        <v>Fuddruckers - New Maadi</v>
      </c>
      <c r="C40" s="107">
        <f>TRUNC('Detailed Report'!Q36,0)</f>
        <v>46023</v>
      </c>
      <c r="D40" s="108">
        <f>'Detailed Report'!P36</f>
        <v>3376067996</v>
      </c>
      <c r="E40" s="106" t="str">
        <f>'Detailed Report'!S36</f>
        <v>Successful</v>
      </c>
      <c r="F40" s="109">
        <f>IF(E40=$E$6,('Detailed Report'!Y36),IF(E40=$E$5,(0),0))</f>
        <v>725.66</v>
      </c>
      <c r="G40" s="106">
        <f>IF(E40=$E$6,('Detailed Report'!AQ36),IF(E40=$E$5,('Detailed Report'!AW36),0))</f>
        <v>636.54386</v>
      </c>
      <c r="H40" s="106">
        <f>'Detailed Report'!AS36</f>
        <v>159.13596999999999</v>
      </c>
      <c r="I40" s="106">
        <f>'Detailed Report'!AT36</f>
        <v>22.279035799999999</v>
      </c>
      <c r="J40" s="106">
        <f>'Detailed Report'!AO36</f>
        <v>12.69905</v>
      </c>
      <c r="K40" s="106">
        <f>'Detailed Report'!AP36</f>
        <v>1.7778670000000001</v>
      </c>
      <c r="L40" s="106">
        <f>'Detailed Report'!AU36/1.14</f>
        <v>23.67543859649123</v>
      </c>
      <c r="M40" s="106">
        <f>'Detailed Report'!AU36-L40</f>
        <v>3.3145614035087689</v>
      </c>
      <c r="N40" s="110">
        <f>'Detailed Report'!AW36</f>
        <v>502.77800000000002</v>
      </c>
      <c r="O40" s="111">
        <f t="shared" si="19"/>
        <v>133.76585999999998</v>
      </c>
      <c r="P40" s="110">
        <f>'Detailed Report'!AM36</f>
        <v>0</v>
      </c>
      <c r="Q40" s="110">
        <f>'Detailed Report'!AN36</f>
        <v>0</v>
      </c>
      <c r="R40" s="110">
        <f>'Detailed Report'!AU36/1.14</f>
        <v>23.67543859649123</v>
      </c>
      <c r="S40" s="110">
        <f>'Detailed Report'!AU36-'........... - Otlob'!R40</f>
        <v>3.3145614035087689</v>
      </c>
      <c r="AS40" s="157" t="s">
        <v>108</v>
      </c>
      <c r="AT40" s="15">
        <v>0</v>
      </c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</row>
    <row r="41" spans="1:98" s="15" customFormat="1" ht="14.45" customHeight="1" x14ac:dyDescent="0.25">
      <c r="A41" s="105">
        <f>+IF(B41="","",SUBTOTAL(3,B$8:B41))</f>
        <v>34</v>
      </c>
      <c r="B41" s="106" t="str">
        <f>'Detailed Report'!O37</f>
        <v>Fuddruckers - Concord Plaza Mall</v>
      </c>
      <c r="C41" s="107">
        <f>TRUNC('Detailed Report'!Q37,0)</f>
        <v>46023</v>
      </c>
      <c r="D41" s="108">
        <f>'Detailed Report'!P37</f>
        <v>3376127446</v>
      </c>
      <c r="E41" s="106" t="str">
        <f>'Detailed Report'!S37</f>
        <v>Successful</v>
      </c>
      <c r="F41" s="109">
        <f>IF(E41=$E$6,('Detailed Report'!Y37),IF(E41=$E$5,(0),0))</f>
        <v>429.99</v>
      </c>
      <c r="G41" s="106">
        <f>IF(E41=$E$6,('Detailed Report'!AQ37),IF(E41=$E$5,('Detailed Report'!AW37),0))</f>
        <v>377.18421000000001</v>
      </c>
      <c r="H41" s="106">
        <f>'Detailed Report'!AS37</f>
        <v>94.296049999999994</v>
      </c>
      <c r="I41" s="106">
        <f>'Detailed Report'!AT37</f>
        <v>13.201447</v>
      </c>
      <c r="J41" s="106">
        <f>'Detailed Report'!AO37</f>
        <v>0</v>
      </c>
      <c r="K41" s="106">
        <f>'Detailed Report'!AP37</f>
        <v>0</v>
      </c>
      <c r="L41" s="106">
        <f>'Detailed Report'!AU37/1.14</f>
        <v>0</v>
      </c>
      <c r="M41" s="106">
        <f>'Detailed Report'!AU37-L41</f>
        <v>0</v>
      </c>
      <c r="N41" s="110">
        <f>'Detailed Report'!AW37</f>
        <v>322.49299999999999</v>
      </c>
      <c r="O41" s="111">
        <f t="shared" si="19"/>
        <v>54.691210000000012</v>
      </c>
      <c r="P41" s="110">
        <f>'Detailed Report'!AM37</f>
        <v>0</v>
      </c>
      <c r="Q41" s="110">
        <f>'Detailed Report'!AN37</f>
        <v>0</v>
      </c>
      <c r="R41" s="110">
        <f>'Detailed Report'!AU37/1.14</f>
        <v>0</v>
      </c>
      <c r="S41" s="110">
        <f>'Detailed Report'!AU37-'........... - Otlob'!R41</f>
        <v>0</v>
      </c>
      <c r="AS41" s="15" t="s">
        <v>109</v>
      </c>
      <c r="AT41" s="15">
        <v>0</v>
      </c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H41" s="158"/>
      <c r="CI41" s="158"/>
      <c r="CJ41" s="158"/>
      <c r="CK41" s="158"/>
      <c r="CL41" s="158"/>
      <c r="CM41" s="158"/>
      <c r="CN41" s="158" t="s">
        <v>110</v>
      </c>
      <c r="CO41" s="158">
        <f>CS39</f>
        <v>626935.51</v>
      </c>
      <c r="CP41" s="158"/>
      <c r="CQ41" s="158"/>
      <c r="CR41" s="158"/>
      <c r="CS41" s="158"/>
      <c r="CT41" s="158"/>
    </row>
    <row r="42" spans="1:98" s="15" customFormat="1" ht="14.45" customHeight="1" x14ac:dyDescent="0.25">
      <c r="A42" s="105">
        <f>+IF(B42="","",SUBTOTAL(3,B$8:B42))</f>
        <v>35</v>
      </c>
      <c r="B42" s="106" t="str">
        <f>'Detailed Report'!O38</f>
        <v>Fuddruckers - Concord Plaza Mall</v>
      </c>
      <c r="C42" s="107">
        <f>TRUNC('Detailed Report'!Q38,0)</f>
        <v>46023</v>
      </c>
      <c r="D42" s="108">
        <f>'Detailed Report'!P38</f>
        <v>3376162211</v>
      </c>
      <c r="E42" s="106" t="str">
        <f>'Detailed Report'!S38</f>
        <v>Successful</v>
      </c>
      <c r="F42" s="109">
        <f>IF(E42=$E$6,('Detailed Report'!Y38),IF(E42=$E$5,(0),0))</f>
        <v>266.99</v>
      </c>
      <c r="G42" s="106">
        <f>IF(E42=$E$6,('Detailed Report'!AQ38),IF(E42=$E$5,('Detailed Report'!AW38),0))</f>
        <v>234.20175</v>
      </c>
      <c r="H42" s="106">
        <f>'Detailed Report'!AS38</f>
        <v>58.550440000000002</v>
      </c>
      <c r="I42" s="106">
        <f>'Detailed Report'!AT38</f>
        <v>8.1970615999999996</v>
      </c>
      <c r="J42" s="106">
        <f>'Detailed Report'!AO38</f>
        <v>4.6723249999999998</v>
      </c>
      <c r="K42" s="106">
        <f>'Detailed Report'!AP38</f>
        <v>0.65412550000000003</v>
      </c>
      <c r="L42" s="106">
        <f>'Detailed Report'!AU38/1.14</f>
        <v>0</v>
      </c>
      <c r="M42" s="106">
        <f>'Detailed Report'!AU38-L42</f>
        <v>0</v>
      </c>
      <c r="N42" s="110">
        <f>'Detailed Report'!AW38</f>
        <v>194.916</v>
      </c>
      <c r="O42" s="111">
        <f t="shared" si="19"/>
        <v>39.285750000000007</v>
      </c>
      <c r="P42" s="110">
        <f>'Detailed Report'!AM38</f>
        <v>0</v>
      </c>
      <c r="Q42" s="110">
        <f>'Detailed Report'!AN38</f>
        <v>0</v>
      </c>
      <c r="R42" s="110">
        <f>'Detailed Report'!AU38/1.14</f>
        <v>0</v>
      </c>
      <c r="S42" s="110">
        <f>'Detailed Report'!AU38-'........... - Otlob'!R42</f>
        <v>0</v>
      </c>
      <c r="AQ42" s="15" t="s">
        <v>111</v>
      </c>
      <c r="AR42" s="15">
        <v>95.06</v>
      </c>
      <c r="AS42" s="157" t="s">
        <v>107</v>
      </c>
      <c r="AT42" s="15" t="e">
        <f>AT39-AT40-AT41</f>
        <v>#REF!</v>
      </c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H42" s="158"/>
      <c r="CI42" s="158"/>
      <c r="CJ42" s="158"/>
      <c r="CK42" s="158"/>
      <c r="CL42" s="158"/>
      <c r="CM42" s="158"/>
      <c r="CN42" s="158" t="s">
        <v>112</v>
      </c>
      <c r="CO42" s="158">
        <f ca="1">W13+Y13</f>
        <v>146493.67038450006</v>
      </c>
      <c r="CP42" s="158"/>
      <c r="CQ42" s="158"/>
      <c r="CR42" s="158"/>
      <c r="CS42" s="158"/>
      <c r="CT42" s="158"/>
    </row>
    <row r="43" spans="1:98" s="15" customFormat="1" ht="14.45" customHeight="1" x14ac:dyDescent="0.25">
      <c r="A43" s="105">
        <f>+IF(B43="","",SUBTOTAL(3,B$8:B43))</f>
        <v>36</v>
      </c>
      <c r="B43" s="106" t="str">
        <f>'Detailed Report'!O39</f>
        <v>Fuddruckers - New Maadi</v>
      </c>
      <c r="C43" s="107">
        <f>TRUNC('Detailed Report'!Q39,0)</f>
        <v>46023</v>
      </c>
      <c r="D43" s="108">
        <f>'Detailed Report'!P39</f>
        <v>3376163008</v>
      </c>
      <c r="E43" s="106" t="str">
        <f>'Detailed Report'!S39</f>
        <v>Successful</v>
      </c>
      <c r="F43" s="109">
        <f>IF(E43=$E$6,('Detailed Report'!Y39),IF(E43=$E$5,(0),0))</f>
        <v>341.58</v>
      </c>
      <c r="G43" s="106">
        <f>IF(E43=$E$6,('Detailed Report'!AQ39),IF(E43=$E$5,('Detailed Report'!AW39),0))</f>
        <v>299.63157999999999</v>
      </c>
      <c r="H43" s="106">
        <f>'Detailed Report'!AS39</f>
        <v>74.907899999999998</v>
      </c>
      <c r="I43" s="106">
        <f>'Detailed Report'!AT39</f>
        <v>10.487106000000001</v>
      </c>
      <c r="J43" s="106">
        <f>'Detailed Report'!AO39</f>
        <v>5.9776499999999997</v>
      </c>
      <c r="K43" s="106">
        <f>'Detailed Report'!AP39</f>
        <v>0.83687100000000003</v>
      </c>
      <c r="L43" s="106">
        <f>'Detailed Report'!AU39/1.14</f>
        <v>27.184210526315791</v>
      </c>
      <c r="M43" s="106">
        <f>'Detailed Report'!AU39-L43</f>
        <v>3.8057894736842073</v>
      </c>
      <c r="N43" s="110">
        <f>'Detailed Report'!AW39</f>
        <v>218.38</v>
      </c>
      <c r="O43" s="111">
        <f t="shared" si="19"/>
        <v>81.25157999999999</v>
      </c>
      <c r="P43" s="110">
        <f>'Detailed Report'!AM39</f>
        <v>0</v>
      </c>
      <c r="Q43" s="110">
        <f>'Detailed Report'!AN39</f>
        <v>0</v>
      </c>
      <c r="R43" s="110">
        <f>'Detailed Report'!AU39/1.14</f>
        <v>27.184210526315791</v>
      </c>
      <c r="S43" s="110">
        <f>'Detailed Report'!AU39-'........... - Otlob'!R43</f>
        <v>3.8057894736842073</v>
      </c>
      <c r="AQ43" s="15" t="s">
        <v>113</v>
      </c>
      <c r="AR43" s="15" t="e">
        <f>AT42-AR42</f>
        <v>#REF!</v>
      </c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H43" s="158"/>
      <c r="CI43" s="158"/>
      <c r="CJ43" s="158"/>
      <c r="CK43" s="158"/>
      <c r="CL43" s="158"/>
      <c r="CM43" s="158"/>
      <c r="CN43" s="158" t="s">
        <v>114</v>
      </c>
      <c r="CO43" s="158">
        <f ca="1">X13+Z13</f>
        <v>20509.10965382999</v>
      </c>
      <c r="CP43" s="158"/>
      <c r="CQ43" s="158"/>
      <c r="CR43" s="158"/>
      <c r="CS43" s="158"/>
      <c r="CT43" s="158"/>
    </row>
    <row r="44" spans="1:98" s="15" customFormat="1" ht="14.45" customHeight="1" x14ac:dyDescent="0.25">
      <c r="A44" s="105">
        <f>+IF(B44="","",SUBTOTAL(3,B$8:B44))</f>
        <v>37</v>
      </c>
      <c r="B44" s="106" t="str">
        <f>'Detailed Report'!O40</f>
        <v>Fuddruckers - Concord Plaza Mall</v>
      </c>
      <c r="C44" s="107">
        <f>TRUNC('Detailed Report'!Q40,0)</f>
        <v>46023</v>
      </c>
      <c r="D44" s="108">
        <f>'Detailed Report'!P40</f>
        <v>3376219381</v>
      </c>
      <c r="E44" s="106" t="str">
        <f>'Detailed Report'!S40</f>
        <v>Successful</v>
      </c>
      <c r="F44" s="109">
        <f>IF(E44=$E$6,('Detailed Report'!Y40),IF(E44=$E$5,(0),0))</f>
        <v>584.98</v>
      </c>
      <c r="G44" s="106">
        <f>IF(E44=$E$6,('Detailed Report'!AQ40),IF(E44=$E$5,('Detailed Report'!AW40),0))</f>
        <v>513.14035000000001</v>
      </c>
      <c r="H44" s="106">
        <f>'Detailed Report'!AS40</f>
        <v>128.28509</v>
      </c>
      <c r="I44" s="106">
        <f>'Detailed Report'!AT40</f>
        <v>17.959912599999999</v>
      </c>
      <c r="J44" s="106">
        <f>'Detailed Report'!AO40</f>
        <v>10.23715</v>
      </c>
      <c r="K44" s="106">
        <f>'Detailed Report'!AP40</f>
        <v>1.4332009999999999</v>
      </c>
      <c r="L44" s="106">
        <f>'Detailed Report'!AU40/1.14</f>
        <v>0</v>
      </c>
      <c r="M44" s="106">
        <f>'Detailed Report'!AU40-L44</f>
        <v>0</v>
      </c>
      <c r="N44" s="110">
        <f>'Detailed Report'!AW40</f>
        <v>392.86500000000001</v>
      </c>
      <c r="O44" s="111">
        <f t="shared" si="19"/>
        <v>120.27535</v>
      </c>
      <c r="P44" s="110">
        <f>'Detailed Report'!AM40</f>
        <v>30</v>
      </c>
      <c r="Q44" s="110">
        <f>'Detailed Report'!AN40</f>
        <v>4.2</v>
      </c>
      <c r="R44" s="110">
        <f>'Detailed Report'!AU40/1.14</f>
        <v>0</v>
      </c>
      <c r="S44" s="110">
        <f>'Detailed Report'!AU40-'........... - Otlob'!R44</f>
        <v>0</v>
      </c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H44" s="158"/>
      <c r="CI44" s="158"/>
      <c r="CJ44" s="158"/>
      <c r="CK44" s="158"/>
      <c r="CL44" s="158"/>
      <c r="CM44" s="158"/>
      <c r="CN44" s="158" t="str">
        <f>AC7</f>
        <v>FreeDeliveryFund</v>
      </c>
      <c r="CO44" s="158">
        <f ca="1">AC13</f>
        <v>15064.429824561417</v>
      </c>
      <c r="CP44" s="158"/>
      <c r="CQ44" s="158"/>
      <c r="CR44" s="158"/>
      <c r="CS44" s="158"/>
      <c r="CT44" s="158"/>
    </row>
    <row r="45" spans="1:98" s="15" customFormat="1" ht="14.45" customHeight="1" x14ac:dyDescent="0.25">
      <c r="A45" s="105">
        <f>+IF(B45="","",SUBTOTAL(3,B$8:B45))</f>
        <v>38</v>
      </c>
      <c r="B45" s="106" t="str">
        <f>'Detailed Report'!O41</f>
        <v>Fuddruckers - New Maadi</v>
      </c>
      <c r="C45" s="107">
        <f>TRUNC('Detailed Report'!Q41,0)</f>
        <v>46023</v>
      </c>
      <c r="D45" s="108">
        <f>'Detailed Report'!P41</f>
        <v>3376305693</v>
      </c>
      <c r="E45" s="106" t="str">
        <f>'Detailed Report'!S41</f>
        <v>Successful</v>
      </c>
      <c r="F45" s="109">
        <f>IF(E45=$E$6,('Detailed Report'!Y41),IF(E45=$E$5,(0),0))</f>
        <v>266.99</v>
      </c>
      <c r="G45" s="106">
        <f>IF(E45=$E$6,('Detailed Report'!AQ41),IF(E45=$E$5,('Detailed Report'!AW41),0))</f>
        <v>234.20175</v>
      </c>
      <c r="H45" s="106">
        <f>'Detailed Report'!AS41</f>
        <v>58.550440000000002</v>
      </c>
      <c r="I45" s="106">
        <f>'Detailed Report'!AT41</f>
        <v>8.1970615999999996</v>
      </c>
      <c r="J45" s="106">
        <f>'Detailed Report'!AO41</f>
        <v>0</v>
      </c>
      <c r="K45" s="106">
        <f>'Detailed Report'!AP41</f>
        <v>0</v>
      </c>
      <c r="L45" s="106">
        <f>'Detailed Report'!AU41/1.14</f>
        <v>0</v>
      </c>
      <c r="M45" s="106">
        <f>'Detailed Report'!AU41-L45</f>
        <v>0</v>
      </c>
      <c r="N45" s="110">
        <f>'Detailed Report'!AW41</f>
        <v>200.24199999999999</v>
      </c>
      <c r="O45" s="111">
        <f t="shared" si="19"/>
        <v>33.959750000000014</v>
      </c>
      <c r="P45" s="110">
        <f>'Detailed Report'!AM41</f>
        <v>0</v>
      </c>
      <c r="Q45" s="110">
        <f>'Detailed Report'!AN41</f>
        <v>0</v>
      </c>
      <c r="R45" s="110">
        <f>'Detailed Report'!AU41/1.14</f>
        <v>0</v>
      </c>
      <c r="S45" s="110">
        <f>'Detailed Report'!AU41-'........... - Otlob'!R45</f>
        <v>0</v>
      </c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H45" s="158"/>
      <c r="CI45" s="158"/>
      <c r="CJ45" s="158"/>
      <c r="CK45" s="158"/>
      <c r="CL45" s="158"/>
      <c r="CM45" s="158"/>
      <c r="CN45" s="158" t="s">
        <v>114</v>
      </c>
      <c r="CO45" s="158">
        <f ca="1">AD13</f>
        <v>2109.0201754385944</v>
      </c>
      <c r="CP45" s="158"/>
      <c r="CQ45" s="158"/>
      <c r="CR45" s="158"/>
      <c r="CS45" s="158"/>
      <c r="CT45" s="158"/>
    </row>
    <row r="46" spans="1:98" s="15" customFormat="1" ht="14.45" customHeight="1" x14ac:dyDescent="0.25">
      <c r="A46" s="105">
        <f>+IF(B46="","",SUBTOTAL(3,B$8:B46))</f>
        <v>39</v>
      </c>
      <c r="B46" s="106" t="str">
        <f>'Detailed Report'!O42</f>
        <v>Fuddruckers - Concord Plaza Mall</v>
      </c>
      <c r="C46" s="107">
        <f>TRUNC('Detailed Report'!Q42,0)</f>
        <v>46023</v>
      </c>
      <c r="D46" s="108">
        <f>'Detailed Report'!P42</f>
        <v>3376334228</v>
      </c>
      <c r="E46" s="106" t="str">
        <f>'Detailed Report'!S42</f>
        <v>Successful</v>
      </c>
      <c r="F46" s="109">
        <f>IF(E46=$E$6,('Detailed Report'!Y42),IF(E46=$E$5,(0),0))</f>
        <v>704.14</v>
      </c>
      <c r="G46" s="106">
        <f>IF(E46=$E$6,('Detailed Report'!AQ42),IF(E46=$E$5,('Detailed Report'!AW42),0))</f>
        <v>617.66666999999995</v>
      </c>
      <c r="H46" s="106">
        <f>'Detailed Report'!AS42</f>
        <v>154.41667000000001</v>
      </c>
      <c r="I46" s="106">
        <f>'Detailed Report'!AT42</f>
        <v>21.618333799999998</v>
      </c>
      <c r="J46" s="106">
        <f>'Detailed Report'!AO42</f>
        <v>12.32245</v>
      </c>
      <c r="K46" s="106">
        <f>'Detailed Report'!AP42</f>
        <v>1.7251430000000001</v>
      </c>
      <c r="L46" s="106">
        <f>'Detailed Report'!AU42/1.14</f>
        <v>0</v>
      </c>
      <c r="M46" s="106">
        <f>'Detailed Report'!AU42-L46</f>
        <v>0</v>
      </c>
      <c r="N46" s="110">
        <f>'Detailed Report'!AW42</f>
        <v>514.05700000000002</v>
      </c>
      <c r="O46" s="111">
        <f t="shared" si="19"/>
        <v>103.60966999999994</v>
      </c>
      <c r="P46" s="110">
        <f>'Detailed Report'!AM42</f>
        <v>0</v>
      </c>
      <c r="Q46" s="110">
        <f>'Detailed Report'!AN42</f>
        <v>0</v>
      </c>
      <c r="R46" s="110">
        <f>'Detailed Report'!AU42/1.14</f>
        <v>0</v>
      </c>
      <c r="S46" s="110">
        <f>'Detailed Report'!AU42-'........... - Otlob'!R46</f>
        <v>0</v>
      </c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H46" s="158"/>
      <c r="CI46" s="158"/>
      <c r="CJ46" s="158"/>
      <c r="CK46" s="158"/>
      <c r="CL46" s="158"/>
      <c r="CM46" s="158"/>
      <c r="CN46" s="158" t="s">
        <v>115</v>
      </c>
      <c r="CO46" s="158">
        <v>87.72</v>
      </c>
      <c r="CP46" s="158"/>
      <c r="CQ46" s="158"/>
      <c r="CR46" s="158"/>
      <c r="CS46" s="158"/>
      <c r="CT46" s="158"/>
    </row>
    <row r="47" spans="1:98" s="15" customFormat="1" ht="14.45" customHeight="1" x14ac:dyDescent="0.25">
      <c r="A47" s="105">
        <f>+IF(B47="","",SUBTOTAL(3,B$8:B47))</f>
        <v>40</v>
      </c>
      <c r="B47" s="106" t="str">
        <f>'Detailed Report'!O43</f>
        <v>Fuddruckers - Concord Plaza Mall</v>
      </c>
      <c r="C47" s="107">
        <f>TRUNC('Detailed Report'!Q43,0)</f>
        <v>46023</v>
      </c>
      <c r="D47" s="108">
        <f>'Detailed Report'!P43</f>
        <v>3376359586</v>
      </c>
      <c r="E47" s="106" t="str">
        <f>'Detailed Report'!S43</f>
        <v>Successful</v>
      </c>
      <c r="F47" s="109">
        <f>IF(E47=$E$6,('Detailed Report'!Y43),IF(E47=$E$5,(0),0))</f>
        <v>445.99</v>
      </c>
      <c r="G47" s="106">
        <f>IF(E47=$E$6,('Detailed Report'!AQ43),IF(E47=$E$5,('Detailed Report'!AW43),0))</f>
        <v>391.21929999999998</v>
      </c>
      <c r="H47" s="106">
        <f>'Detailed Report'!AS43</f>
        <v>97.804829999999995</v>
      </c>
      <c r="I47" s="106">
        <f>'Detailed Report'!AT43</f>
        <v>13.692676199999999</v>
      </c>
      <c r="J47" s="106">
        <f>'Detailed Report'!AO43</f>
        <v>7.8048250000000001</v>
      </c>
      <c r="K47" s="106">
        <f>'Detailed Report'!AP43</f>
        <v>1.0926754999999999</v>
      </c>
      <c r="L47" s="106">
        <f>'Detailed Report'!AU43/1.14</f>
        <v>28.061403508771932</v>
      </c>
      <c r="M47" s="106">
        <f>'Detailed Report'!AU43-L47</f>
        <v>3.9285964912280669</v>
      </c>
      <c r="N47" s="110">
        <f>'Detailed Report'!AW43</f>
        <v>293.60500000000002</v>
      </c>
      <c r="O47" s="111">
        <f t="shared" si="19"/>
        <v>97.614299999999957</v>
      </c>
      <c r="P47" s="110">
        <f>'Detailed Report'!AM43</f>
        <v>0</v>
      </c>
      <c r="Q47" s="110">
        <f>'Detailed Report'!AN43</f>
        <v>0</v>
      </c>
      <c r="R47" s="110">
        <f>'Detailed Report'!AU43/1.14</f>
        <v>28.061403508771932</v>
      </c>
      <c r="S47" s="110">
        <f>'Detailed Report'!AU43-'........... - Otlob'!R47</f>
        <v>3.9285964912280669</v>
      </c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H47" s="158"/>
      <c r="CI47" s="158"/>
      <c r="CJ47" s="158"/>
      <c r="CK47" s="158"/>
      <c r="CL47" s="158"/>
      <c r="CM47" s="158"/>
      <c r="CN47" s="158" t="s">
        <v>114</v>
      </c>
      <c r="CO47" s="158">
        <f>CO46*14/100</f>
        <v>12.280799999999999</v>
      </c>
      <c r="CP47" s="158"/>
      <c r="CQ47" s="158"/>
      <c r="CR47" s="158"/>
      <c r="CS47" s="158"/>
      <c r="CT47" s="158"/>
    </row>
    <row r="48" spans="1:98" s="15" customFormat="1" ht="14.45" customHeight="1" x14ac:dyDescent="0.25">
      <c r="A48" s="105">
        <f>+IF(B48="","",SUBTOTAL(3,B$8:B48))</f>
        <v>41</v>
      </c>
      <c r="B48" s="106" t="str">
        <f>'Detailed Report'!O44</f>
        <v>Fuddruckers - Concord Plaza Mall</v>
      </c>
      <c r="C48" s="107">
        <f>TRUNC('Detailed Report'!Q44,0)</f>
        <v>46023</v>
      </c>
      <c r="D48" s="108">
        <f>'Detailed Report'!P44</f>
        <v>3376405838</v>
      </c>
      <c r="E48" s="106" t="str">
        <f>'Detailed Report'!S44</f>
        <v>Successful</v>
      </c>
      <c r="F48" s="109">
        <f>IF(E48=$E$6,('Detailed Report'!Y44),IF(E48=$E$5,(0),0))</f>
        <v>1274.5899999999999</v>
      </c>
      <c r="G48" s="106">
        <f>IF(E48=$E$6,('Detailed Report'!AQ44),IF(E48=$E$5,('Detailed Report'!AW44),0))</f>
        <v>1118.0614</v>
      </c>
      <c r="H48" s="106">
        <f>'Detailed Report'!AS44</f>
        <v>279.51535000000001</v>
      </c>
      <c r="I48" s="106">
        <f>'Detailed Report'!AT44</f>
        <v>39.132148999999998</v>
      </c>
      <c r="J48" s="106">
        <f>'Detailed Report'!AO44</f>
        <v>22.305323250000001</v>
      </c>
      <c r="K48" s="106">
        <f>'Detailed Report'!AP44</f>
        <v>3.1227452549999999</v>
      </c>
      <c r="L48" s="106">
        <f>'Detailed Report'!AU44/1.14</f>
        <v>0</v>
      </c>
      <c r="M48" s="106">
        <f>'Detailed Report'!AU44-L48</f>
        <v>0</v>
      </c>
      <c r="N48" s="110">
        <f>'Detailed Report'!AW44</f>
        <v>930.51400000000001</v>
      </c>
      <c r="O48" s="111">
        <f t="shared" si="19"/>
        <v>187.54740000000004</v>
      </c>
      <c r="P48" s="110">
        <f>'Detailed Report'!AM44</f>
        <v>0</v>
      </c>
      <c r="Q48" s="110">
        <f>'Detailed Report'!AN44</f>
        <v>0</v>
      </c>
      <c r="R48" s="110">
        <f>'Detailed Report'!AU44/1.14</f>
        <v>0</v>
      </c>
      <c r="S48" s="110">
        <f>'Detailed Report'!AU44-'........... - Otlob'!R48</f>
        <v>0</v>
      </c>
      <c r="AR48" s="15" t="e">
        <f>AR43-AT26-AT27-AT28</f>
        <v>#REF!</v>
      </c>
      <c r="AS48" s="15" t="e">
        <f>AT32+AT24</f>
        <v>#REF!</v>
      </c>
      <c r="AT48" s="15" t="e">
        <f>AR48-AS48</f>
        <v>#REF!</v>
      </c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H48" s="158"/>
      <c r="CI48" s="158"/>
      <c r="CJ48" s="158"/>
      <c r="CK48" s="158"/>
      <c r="CL48" s="158"/>
      <c r="CM48" s="158"/>
      <c r="CN48" s="158" t="s">
        <v>116</v>
      </c>
      <c r="CO48" s="159">
        <f ca="1">CO42+CO43+CO44+CO46+CO47+CO45</f>
        <v>184276.23083833008</v>
      </c>
      <c r="CP48" s="158"/>
      <c r="CQ48" s="158"/>
      <c r="CR48" s="158"/>
      <c r="CS48" s="158"/>
      <c r="CT48" s="158"/>
    </row>
    <row r="49" spans="1:98" s="15" customFormat="1" ht="14.45" customHeight="1" x14ac:dyDescent="0.25">
      <c r="A49" s="105">
        <f>+IF(B49="","",SUBTOTAL(3,B$8:B49))</f>
        <v>42</v>
      </c>
      <c r="B49" s="106" t="str">
        <f>'Detailed Report'!O45</f>
        <v>Fuddruckers - Concord Plaza Mall</v>
      </c>
      <c r="C49" s="107">
        <f>TRUNC('Detailed Report'!Q45,0)</f>
        <v>46024</v>
      </c>
      <c r="D49" s="108">
        <f>'Detailed Report'!P45</f>
        <v>3377170068</v>
      </c>
      <c r="E49" s="106" t="str">
        <f>'Detailed Report'!S45</f>
        <v>Successful</v>
      </c>
      <c r="F49" s="109">
        <f>IF(E49=$E$6,('Detailed Report'!Y45),IF(E49=$E$5,(0),0))</f>
        <v>730.99</v>
      </c>
      <c r="G49" s="106">
        <f>IF(E49=$E$6,('Detailed Report'!AQ45),IF(E49=$E$5,('Detailed Report'!AW45),0))</f>
        <v>641.21929999999998</v>
      </c>
      <c r="H49" s="106">
        <f>'Detailed Report'!AS45</f>
        <v>160.30483000000001</v>
      </c>
      <c r="I49" s="106">
        <f>'Detailed Report'!AT45</f>
        <v>22.442676200000001</v>
      </c>
      <c r="J49" s="106">
        <f>'Detailed Report'!AO45</f>
        <v>0</v>
      </c>
      <c r="K49" s="106">
        <f>'Detailed Report'!AP45</f>
        <v>0</v>
      </c>
      <c r="L49" s="106">
        <f>'Detailed Report'!AU45/1.14</f>
        <v>30.692982456140356</v>
      </c>
      <c r="M49" s="106">
        <f>'Detailed Report'!AU45-L49</f>
        <v>4.2970175438596456</v>
      </c>
      <c r="N49" s="110">
        <f>'Detailed Report'!AW45</f>
        <v>513.25199999999995</v>
      </c>
      <c r="O49" s="111">
        <f t="shared" si="19"/>
        <v>127.96730000000002</v>
      </c>
      <c r="P49" s="110">
        <f>'Detailed Report'!AM45</f>
        <v>0</v>
      </c>
      <c r="Q49" s="110">
        <f>'Detailed Report'!AN45</f>
        <v>0</v>
      </c>
      <c r="R49" s="110">
        <f>'Detailed Report'!AU45/1.14</f>
        <v>30.692982456140356</v>
      </c>
      <c r="S49" s="110">
        <f>'Detailed Report'!AU45-'........... - Otlob'!R49</f>
        <v>4.2970175438596456</v>
      </c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H49" s="158"/>
      <c r="CI49" s="158"/>
      <c r="CJ49" s="158"/>
      <c r="CK49" s="158"/>
      <c r="CL49" s="158"/>
      <c r="CM49" s="158"/>
      <c r="CN49" s="158" t="s">
        <v>117</v>
      </c>
      <c r="CO49" s="158">
        <f ca="1">CO41-CO42-CO43-CO46-CO47-CP48-CO44-CO45</f>
        <v>442659.27916166995</v>
      </c>
      <c r="CP49" s="158"/>
      <c r="CQ49" s="158"/>
      <c r="CR49" s="158"/>
      <c r="CS49" s="158"/>
      <c r="CT49" s="158"/>
    </row>
    <row r="50" spans="1:98" s="15" customFormat="1" ht="14.45" customHeight="1" x14ac:dyDescent="0.25">
      <c r="A50" s="105">
        <f>+IF(B50="","",SUBTOTAL(3,B$8:B50))</f>
        <v>43</v>
      </c>
      <c r="B50" s="106" t="str">
        <f>'Detailed Report'!O46</f>
        <v>Fuddruckers - Concord Plaza Mall</v>
      </c>
      <c r="C50" s="107">
        <f>TRUNC('Detailed Report'!Q46,0)</f>
        <v>46024</v>
      </c>
      <c r="D50" s="108">
        <f>'Detailed Report'!P46</f>
        <v>3377280015</v>
      </c>
      <c r="E50" s="106" t="str">
        <f>'Detailed Report'!S46</f>
        <v>Successful</v>
      </c>
      <c r="F50" s="109">
        <f>IF(E50=$E$6,('Detailed Report'!Y46),IF(E50=$E$5,(0),0))</f>
        <v>1361.97</v>
      </c>
      <c r="G50" s="106">
        <f>IF(E50=$E$6,('Detailed Report'!AQ46),IF(E50=$E$5,('Detailed Report'!AW46),0))</f>
        <v>1194.7105300000001</v>
      </c>
      <c r="H50" s="106">
        <f>'Detailed Report'!AS46</f>
        <v>298.67763000000002</v>
      </c>
      <c r="I50" s="106">
        <f>'Detailed Report'!AT46</f>
        <v>41.814868199999999</v>
      </c>
      <c r="J50" s="106">
        <f>'Detailed Report'!AO46</f>
        <v>23.834475000000001</v>
      </c>
      <c r="K50" s="106">
        <f>'Detailed Report'!AP46</f>
        <v>3.3368264999999999</v>
      </c>
      <c r="L50" s="106">
        <f>'Detailed Report'!AU46/1.14</f>
        <v>0</v>
      </c>
      <c r="M50" s="106">
        <f>'Detailed Report'!AU46-L50</f>
        <v>0</v>
      </c>
      <c r="N50" s="110">
        <f>'Detailed Report'!AW46</f>
        <v>994.30600000000004</v>
      </c>
      <c r="O50" s="111">
        <f t="shared" si="19"/>
        <v>200.40453000000002</v>
      </c>
      <c r="P50" s="110">
        <f>'Detailed Report'!AM46</f>
        <v>0</v>
      </c>
      <c r="Q50" s="110">
        <f>'Detailed Report'!AN46</f>
        <v>0</v>
      </c>
      <c r="R50" s="110">
        <f>'Detailed Report'!AU46/1.14</f>
        <v>0</v>
      </c>
      <c r="S50" s="110">
        <f>'Detailed Report'!AU46-'........... - Otlob'!R50</f>
        <v>0</v>
      </c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H50" s="158"/>
      <c r="CI50" s="158"/>
      <c r="CJ50" s="158"/>
      <c r="CK50" s="158"/>
      <c r="CL50" s="158"/>
      <c r="CM50" s="158"/>
      <c r="CN50" s="158" t="s">
        <v>118</v>
      </c>
      <c r="CO50" s="158">
        <f>68106.44+66982.3+101300.14</f>
        <v>236388.88</v>
      </c>
      <c r="CP50" s="158"/>
      <c r="CQ50" s="158"/>
      <c r="CR50" s="158"/>
      <c r="CS50" s="158"/>
      <c r="CT50" s="158"/>
    </row>
    <row r="51" spans="1:98" ht="14.45" customHeight="1" x14ac:dyDescent="0.25">
      <c r="A51" s="105">
        <f>+IF(B51="","",SUBTOTAL(3,B$8:B51))</f>
        <v>44</v>
      </c>
      <c r="B51" s="106" t="str">
        <f>'Detailed Report'!O47</f>
        <v>Fuddruckers - Concord Plaza Mall</v>
      </c>
      <c r="C51" s="107">
        <f>TRUNC('Detailed Report'!Q47,0)</f>
        <v>46024</v>
      </c>
      <c r="D51" s="108">
        <f>'Detailed Report'!P47</f>
        <v>3377283880</v>
      </c>
      <c r="E51" s="106" t="str">
        <f>'Detailed Report'!S47</f>
        <v>Successful</v>
      </c>
      <c r="F51" s="109">
        <f>IF(E51=$E$6,('Detailed Report'!Y47),IF(E51=$E$5,(0),0))</f>
        <v>847.02</v>
      </c>
      <c r="G51" s="106">
        <f>IF(E51=$E$6,('Detailed Report'!AQ47),IF(E51=$E$5,('Detailed Report'!AW47),0))</f>
        <v>743</v>
      </c>
      <c r="H51" s="106">
        <f>'Detailed Report'!AS47</f>
        <v>185.75</v>
      </c>
      <c r="I51" s="106">
        <f>'Detailed Report'!AT47</f>
        <v>26.004999999999999</v>
      </c>
      <c r="J51" s="106">
        <f>'Detailed Report'!AO47</f>
        <v>0</v>
      </c>
      <c r="K51" s="106">
        <f>'Detailed Report'!AP47</f>
        <v>0</v>
      </c>
      <c r="L51" s="106">
        <f>'Detailed Report'!AU47/1.14</f>
        <v>0</v>
      </c>
      <c r="M51" s="106">
        <f>'Detailed Report'!AU47-L51</f>
        <v>0</v>
      </c>
      <c r="N51" s="110">
        <f>'Detailed Report'!AW47</f>
        <v>635.26499999999999</v>
      </c>
      <c r="O51" s="111">
        <f t="shared" si="19"/>
        <v>107.73500000000001</v>
      </c>
      <c r="P51" s="110">
        <f>'Detailed Report'!AM47</f>
        <v>0</v>
      </c>
      <c r="Q51" s="110">
        <f>'Detailed Report'!AN47</f>
        <v>0</v>
      </c>
      <c r="R51" s="110">
        <f>'Detailed Report'!AU47/1.14</f>
        <v>0</v>
      </c>
      <c r="S51" s="110">
        <f>'Detailed Report'!AU47-'........... - Otlob'!R51</f>
        <v>0</v>
      </c>
      <c r="CO51" s="9">
        <f ca="1">CO49-CO50</f>
        <v>206270.39916166995</v>
      </c>
    </row>
    <row r="52" spans="1:98" ht="14.45" customHeight="1" x14ac:dyDescent="0.25">
      <c r="A52" s="105">
        <f>+IF(B52="","",SUBTOTAL(3,B$8:B52))</f>
        <v>45</v>
      </c>
      <c r="B52" s="106" t="str">
        <f>'Detailed Report'!O48</f>
        <v>Fuddruckers - New Maadi</v>
      </c>
      <c r="C52" s="107">
        <f>TRUNC('Detailed Report'!Q48,0)</f>
        <v>46024</v>
      </c>
      <c r="D52" s="108">
        <f>'Detailed Report'!P48</f>
        <v>3377298897</v>
      </c>
      <c r="E52" s="106" t="str">
        <f>'Detailed Report'!S48</f>
        <v>Successful</v>
      </c>
      <c r="F52" s="109">
        <f>IF(E52=$E$6,('Detailed Report'!Y48),IF(E52=$E$5,(0),0))</f>
        <v>1056</v>
      </c>
      <c r="G52" s="106">
        <f>IF(E52=$E$6,('Detailed Report'!AQ48),IF(E52=$E$5,('Detailed Report'!AW48),0))</f>
        <v>926.31578999999999</v>
      </c>
      <c r="H52" s="106">
        <f>'Detailed Report'!AS48</f>
        <v>231.57894999999999</v>
      </c>
      <c r="I52" s="106">
        <f>'Detailed Report'!AT48</f>
        <v>32.421053000000001</v>
      </c>
      <c r="J52" s="106">
        <f>'Detailed Report'!AO48</f>
        <v>18.48</v>
      </c>
      <c r="K52" s="106">
        <f>'Detailed Report'!AP48</f>
        <v>2.5872000000000002</v>
      </c>
      <c r="L52" s="106">
        <f>'Detailed Report'!AU48/1.14</f>
        <v>0</v>
      </c>
      <c r="M52" s="106">
        <f>'Detailed Report'!AU48-L52</f>
        <v>0</v>
      </c>
      <c r="N52" s="110">
        <f>'Detailed Report'!AW48</f>
        <v>770.93299999999999</v>
      </c>
      <c r="O52" s="111">
        <f t="shared" si="19"/>
        <v>155.38279</v>
      </c>
      <c r="P52" s="110">
        <f>'Detailed Report'!AM48</f>
        <v>0</v>
      </c>
      <c r="Q52" s="110">
        <f>'Detailed Report'!AN48</f>
        <v>0</v>
      </c>
      <c r="R52" s="110">
        <f>'Detailed Report'!AU48/1.14</f>
        <v>0</v>
      </c>
      <c r="S52" s="110">
        <f>'Detailed Report'!AU48-'........... - Otlob'!R52</f>
        <v>0</v>
      </c>
      <c r="CN52" s="9" t="s">
        <v>119</v>
      </c>
    </row>
    <row r="53" spans="1:98" ht="14.45" customHeight="1" x14ac:dyDescent="0.25">
      <c r="A53" s="105">
        <f>+IF(B53="","",SUBTOTAL(3,B$8:B53))</f>
        <v>46</v>
      </c>
      <c r="B53" s="106" t="str">
        <f>'Detailed Report'!O49</f>
        <v>Fuddruckers - Concord Plaza Mall</v>
      </c>
      <c r="C53" s="107">
        <f>TRUNC('Detailed Report'!Q49,0)</f>
        <v>46024</v>
      </c>
      <c r="D53" s="108">
        <f>'Detailed Report'!P49</f>
        <v>3377310404</v>
      </c>
      <c r="E53" s="106" t="str">
        <f>'Detailed Report'!S49</f>
        <v>Successful</v>
      </c>
      <c r="F53" s="109">
        <f>IF(E53=$E$6,('Detailed Report'!Y49),IF(E53=$E$5,(0),0))</f>
        <v>369.99</v>
      </c>
      <c r="G53" s="106">
        <f>IF(E53=$E$6,('Detailed Report'!AQ49),IF(E53=$E$5,('Detailed Report'!AW49),0))</f>
        <v>324.55263000000002</v>
      </c>
      <c r="H53" s="106">
        <f>'Detailed Report'!AS49</f>
        <v>81.138159999999999</v>
      </c>
      <c r="I53" s="106">
        <f>'Detailed Report'!AT49</f>
        <v>11.359342399999999</v>
      </c>
      <c r="J53" s="106">
        <f>'Detailed Report'!AO49</f>
        <v>6.4748250000000001</v>
      </c>
      <c r="K53" s="106">
        <f>'Detailed Report'!AP49</f>
        <v>0.90647549999999999</v>
      </c>
      <c r="L53" s="106">
        <f>'Detailed Report'!AU49/1.14</f>
        <v>0</v>
      </c>
      <c r="M53" s="106">
        <f>'Detailed Report'!AU49-L53</f>
        <v>0</v>
      </c>
      <c r="N53" s="110">
        <f>'Detailed Report'!AW49</f>
        <v>270.11099999999999</v>
      </c>
      <c r="O53" s="111">
        <f t="shared" si="19"/>
        <v>54.441630000000032</v>
      </c>
      <c r="P53" s="110">
        <f>'Detailed Report'!AM49</f>
        <v>0</v>
      </c>
      <c r="Q53" s="110">
        <f>'Detailed Report'!AN49</f>
        <v>0</v>
      </c>
      <c r="R53" s="110">
        <f>'Detailed Report'!AU49/1.14</f>
        <v>0</v>
      </c>
      <c r="S53" s="110">
        <f>'Detailed Report'!AU49-'........... - Otlob'!R53</f>
        <v>0</v>
      </c>
      <c r="CO53" s="9">
        <f ca="1">CO52-CO51</f>
        <v>-206270.39916166995</v>
      </c>
    </row>
    <row r="54" spans="1:98" ht="14.45" customHeight="1" x14ac:dyDescent="0.25">
      <c r="A54" s="105">
        <f>+IF(B54="","",SUBTOTAL(3,B$8:B54))</f>
        <v>47</v>
      </c>
      <c r="B54" s="106" t="str">
        <f>'Detailed Report'!O50</f>
        <v>Fuddruckers - New Maadi</v>
      </c>
      <c r="C54" s="107">
        <f>TRUNC('Detailed Report'!Q50,0)</f>
        <v>46024</v>
      </c>
      <c r="D54" s="108">
        <f>'Detailed Report'!P50</f>
        <v>3377479932</v>
      </c>
      <c r="E54" s="106" t="str">
        <f>'Detailed Report'!S50</f>
        <v>Successful</v>
      </c>
      <c r="F54" s="109">
        <f>IF(E54=$E$6,('Detailed Report'!Y50),IF(E54=$E$5,(0),0))</f>
        <v>299.98</v>
      </c>
      <c r="G54" s="106">
        <f>IF(E54=$E$6,('Detailed Report'!AQ50),IF(E54=$E$5,('Detailed Report'!AW50),0))</f>
        <v>263.14035000000001</v>
      </c>
      <c r="H54" s="106">
        <f>'Detailed Report'!AS50</f>
        <v>65.785089999999997</v>
      </c>
      <c r="I54" s="106">
        <f>'Detailed Report'!AT50</f>
        <v>9.2099125999999991</v>
      </c>
      <c r="J54" s="106">
        <f>'Detailed Report'!AO50</f>
        <v>5.2496499999999999</v>
      </c>
      <c r="K54" s="106">
        <f>'Detailed Report'!AP50</f>
        <v>0.73495100000000002</v>
      </c>
      <c r="L54" s="106">
        <f>'Detailed Report'!AU50/1.14</f>
        <v>27.184210526315791</v>
      </c>
      <c r="M54" s="106">
        <f>'Detailed Report'!AU50-L54</f>
        <v>3.8057894736842073</v>
      </c>
      <c r="N54" s="110">
        <f>'Detailed Report'!AW50</f>
        <v>188.01</v>
      </c>
      <c r="O54" s="111">
        <f t="shared" si="19"/>
        <v>75.130350000000021</v>
      </c>
      <c r="P54" s="110">
        <f>'Detailed Report'!AM50</f>
        <v>0</v>
      </c>
      <c r="Q54" s="110">
        <f>'Detailed Report'!AN50</f>
        <v>0</v>
      </c>
      <c r="R54" s="110">
        <f>'Detailed Report'!AU50/1.14</f>
        <v>27.184210526315791</v>
      </c>
      <c r="S54" s="110">
        <f>'Detailed Report'!AU50-'........... - Otlob'!R54</f>
        <v>3.8057894736842073</v>
      </c>
    </row>
    <row r="55" spans="1:98" ht="14.45" customHeight="1" x14ac:dyDescent="0.25">
      <c r="A55" s="105">
        <f>+IF(B55="","",SUBTOTAL(3,B$8:B55))</f>
        <v>48</v>
      </c>
      <c r="B55" s="106" t="str">
        <f>'Detailed Report'!O51</f>
        <v>Fuddruckers - City Stars</v>
      </c>
      <c r="C55" s="107">
        <f>TRUNC('Detailed Report'!Q51,0)</f>
        <v>46024</v>
      </c>
      <c r="D55" s="108">
        <f>'Detailed Report'!P51</f>
        <v>3377480791</v>
      </c>
      <c r="E55" s="106" t="str">
        <f>'Detailed Report'!S51</f>
        <v>Successful</v>
      </c>
      <c r="F55" s="109">
        <f>IF(E55=$E$6,('Detailed Report'!Y51),IF(E55=$E$5,(0),0))</f>
        <v>524.99</v>
      </c>
      <c r="G55" s="106">
        <f>IF(E55=$E$6,('Detailed Report'!AQ51),IF(E55=$E$5,('Detailed Report'!AW51),0))</f>
        <v>460.51754</v>
      </c>
      <c r="H55" s="106">
        <f>'Detailed Report'!AS51</f>
        <v>115.12939</v>
      </c>
      <c r="I55" s="106">
        <f>'Detailed Report'!AT51</f>
        <v>16.118114599999998</v>
      </c>
      <c r="J55" s="106">
        <f>'Detailed Report'!AO51</f>
        <v>0</v>
      </c>
      <c r="K55" s="106">
        <f>'Detailed Report'!AP51</f>
        <v>0</v>
      </c>
      <c r="L55" s="106">
        <f>'Detailed Report'!AU51/1.14</f>
        <v>0</v>
      </c>
      <c r="M55" s="106">
        <f>'Detailed Report'!AU51-L55</f>
        <v>0</v>
      </c>
      <c r="N55" s="110">
        <f>'Detailed Report'!AW51</f>
        <v>393.74200000000002</v>
      </c>
      <c r="O55" s="111">
        <f t="shared" si="19"/>
        <v>66.775539999999978</v>
      </c>
      <c r="P55" s="110">
        <f>'Detailed Report'!AM51</f>
        <v>0</v>
      </c>
      <c r="Q55" s="110">
        <f>'Detailed Report'!AN51</f>
        <v>0</v>
      </c>
      <c r="R55" s="110">
        <f>'Detailed Report'!AU51/1.14</f>
        <v>0</v>
      </c>
      <c r="S55" s="110">
        <f>'Detailed Report'!AU51-'........... - Otlob'!R55</f>
        <v>0</v>
      </c>
    </row>
    <row r="56" spans="1:98" ht="14.45" customHeight="1" x14ac:dyDescent="0.25">
      <c r="A56" s="105">
        <f>+IF(B56="","",SUBTOTAL(3,B$8:B56))</f>
        <v>49</v>
      </c>
      <c r="B56" s="106" t="str">
        <f>'Detailed Report'!O52</f>
        <v>Fuddruckers - New Maadi</v>
      </c>
      <c r="C56" s="107">
        <f>TRUNC('Detailed Report'!Q52,0)</f>
        <v>46024</v>
      </c>
      <c r="D56" s="108">
        <f>'Detailed Report'!P52</f>
        <v>3377561649</v>
      </c>
      <c r="E56" s="106" t="str">
        <f>'Detailed Report'!S52</f>
        <v>Successful</v>
      </c>
      <c r="F56" s="109">
        <f>IF(E56=$E$6,('Detailed Report'!Y52),IF(E56=$E$5,(0),0))</f>
        <v>658</v>
      </c>
      <c r="G56" s="106">
        <f>IF(E56=$E$6,('Detailed Report'!AQ52),IF(E56=$E$5,('Detailed Report'!AW52),0))</f>
        <v>577.19298000000003</v>
      </c>
      <c r="H56" s="106">
        <f>'Detailed Report'!AS52</f>
        <v>144.29825</v>
      </c>
      <c r="I56" s="106">
        <f>'Detailed Report'!AT52</f>
        <v>20.201754999999999</v>
      </c>
      <c r="J56" s="106">
        <f>'Detailed Report'!AO52</f>
        <v>11.515000000000001</v>
      </c>
      <c r="K56" s="106">
        <f>'Detailed Report'!AP52</f>
        <v>1.6121000000000001</v>
      </c>
      <c r="L56" s="106">
        <f>'Detailed Report'!AU52/1.14</f>
        <v>0</v>
      </c>
      <c r="M56" s="106">
        <f>'Detailed Report'!AU52-L56</f>
        <v>0</v>
      </c>
      <c r="N56" s="110">
        <f>'Detailed Report'!AW52</f>
        <v>480.37299999999999</v>
      </c>
      <c r="O56" s="111">
        <f t="shared" si="19"/>
        <v>96.819980000000044</v>
      </c>
      <c r="P56" s="110">
        <f>'Detailed Report'!AM52</f>
        <v>0</v>
      </c>
      <c r="Q56" s="110">
        <f>'Detailed Report'!AN52</f>
        <v>0</v>
      </c>
      <c r="R56" s="110">
        <f>'Detailed Report'!AU52/1.14</f>
        <v>0</v>
      </c>
      <c r="S56" s="110">
        <f>'Detailed Report'!AU52-'........... - Otlob'!R56</f>
        <v>0</v>
      </c>
    </row>
    <row r="57" spans="1:98" ht="14.45" customHeight="1" x14ac:dyDescent="0.25">
      <c r="A57" s="105">
        <f>+IF(B57="","",SUBTOTAL(3,B$8:B57))</f>
        <v>50</v>
      </c>
      <c r="B57" s="106" t="str">
        <f>'Detailed Report'!O53</f>
        <v>Fuddruckers - New Maadi</v>
      </c>
      <c r="C57" s="107">
        <f>TRUNC('Detailed Report'!Q53,0)</f>
        <v>46024</v>
      </c>
      <c r="D57" s="108">
        <f>'Detailed Report'!P53</f>
        <v>3377588981</v>
      </c>
      <c r="E57" s="106" t="str">
        <f>'Detailed Report'!S53</f>
        <v>Successful</v>
      </c>
      <c r="F57" s="109">
        <f>IF(E57=$E$6,('Detailed Report'!Y53),IF(E57=$E$5,(0),0))</f>
        <v>329</v>
      </c>
      <c r="G57" s="106">
        <f>IF(E57=$E$6,('Detailed Report'!AQ53),IF(E57=$E$5,('Detailed Report'!AW53),0))</f>
        <v>288.59649000000002</v>
      </c>
      <c r="H57" s="106">
        <f>'Detailed Report'!AS53</f>
        <v>72.149119999999996</v>
      </c>
      <c r="I57" s="106">
        <f>'Detailed Report'!AT53</f>
        <v>10.1008768</v>
      </c>
      <c r="J57" s="106">
        <f>'Detailed Report'!AO53</f>
        <v>0</v>
      </c>
      <c r="K57" s="106">
        <f>'Detailed Report'!AP53</f>
        <v>0</v>
      </c>
      <c r="L57" s="106">
        <f>'Detailed Report'!AU53/1.14</f>
        <v>25.42982456140351</v>
      </c>
      <c r="M57" s="106">
        <f>'Detailed Report'!AU53-L57</f>
        <v>3.5601754385964881</v>
      </c>
      <c r="N57" s="110">
        <f>'Detailed Report'!AW53</f>
        <v>217.76</v>
      </c>
      <c r="O57" s="111">
        <f t="shared" si="19"/>
        <v>70.836490000000026</v>
      </c>
      <c r="P57" s="110">
        <f>'Detailed Report'!AM53</f>
        <v>0</v>
      </c>
      <c r="Q57" s="110">
        <f>'Detailed Report'!AN53</f>
        <v>0</v>
      </c>
      <c r="R57" s="110">
        <f>'Detailed Report'!AU53/1.14</f>
        <v>25.42982456140351</v>
      </c>
      <c r="S57" s="110">
        <f>'Detailed Report'!AU53-'........... - Otlob'!R57</f>
        <v>3.5601754385964881</v>
      </c>
      <c r="CA57" s="9" t="s">
        <v>120</v>
      </c>
      <c r="CB57" s="9" t="s">
        <v>121</v>
      </c>
      <c r="CC57" s="9" t="s">
        <v>106</v>
      </c>
      <c r="CD57" s="9" t="s">
        <v>52</v>
      </c>
    </row>
    <row r="58" spans="1:98" ht="14.45" customHeight="1" x14ac:dyDescent="0.25">
      <c r="A58" s="105">
        <f>+IF(B58="","",SUBTOTAL(3,B$8:B58))</f>
        <v>51</v>
      </c>
      <c r="B58" s="106" t="str">
        <f>'Detailed Report'!O54</f>
        <v>Fuddruckers - New Maadi</v>
      </c>
      <c r="C58" s="107">
        <f>TRUNC('Detailed Report'!Q54,0)</f>
        <v>46024</v>
      </c>
      <c r="D58" s="108">
        <f>'Detailed Report'!P54</f>
        <v>3377597013</v>
      </c>
      <c r="E58" s="106" t="str">
        <f>'Detailed Report'!S54</f>
        <v>Successful</v>
      </c>
      <c r="F58" s="109">
        <f>IF(E58=$E$6,('Detailed Report'!Y54),IF(E58=$E$5,(0),0))</f>
        <v>572.98</v>
      </c>
      <c r="G58" s="106">
        <f>IF(E58=$E$6,('Detailed Report'!AQ54),IF(E58=$E$5,('Detailed Report'!AW54),0))</f>
        <v>502.61403999999999</v>
      </c>
      <c r="H58" s="106">
        <f>'Detailed Report'!AS54</f>
        <v>125.65351</v>
      </c>
      <c r="I58" s="106">
        <f>'Detailed Report'!AT54</f>
        <v>17.591491399999999</v>
      </c>
      <c r="J58" s="106">
        <f>'Detailed Report'!AO54</f>
        <v>10.027150000000001</v>
      </c>
      <c r="K58" s="106">
        <f>'Detailed Report'!AP54</f>
        <v>1.4038010000000001</v>
      </c>
      <c r="L58" s="106">
        <f>'Detailed Report'!AU54/1.14</f>
        <v>0</v>
      </c>
      <c r="M58" s="106">
        <f>'Detailed Report'!AU54-L58</f>
        <v>0</v>
      </c>
      <c r="N58" s="110">
        <f>'Detailed Report'!AW54</f>
        <v>418.30399999999997</v>
      </c>
      <c r="O58" s="111">
        <f t="shared" si="19"/>
        <v>84.310040000000015</v>
      </c>
      <c r="P58" s="110">
        <f>'Detailed Report'!AM54</f>
        <v>0</v>
      </c>
      <c r="Q58" s="110">
        <f>'Detailed Report'!AN54</f>
        <v>0</v>
      </c>
      <c r="R58" s="110">
        <f>'Detailed Report'!AU54/1.14</f>
        <v>0</v>
      </c>
      <c r="S58" s="110">
        <f>'Detailed Report'!AU54-'........... - Otlob'!R58</f>
        <v>0</v>
      </c>
      <c r="CA58" s="9">
        <v>44358</v>
      </c>
      <c r="CB58" s="9">
        <v>480924971</v>
      </c>
      <c r="CC58" s="9">
        <v>295</v>
      </c>
      <c r="CD58" s="9">
        <v>380</v>
      </c>
    </row>
    <row r="59" spans="1:98" ht="14.45" customHeight="1" x14ac:dyDescent="0.25">
      <c r="A59" s="105">
        <f>+IF(B59="","",SUBTOTAL(3,B$8:B59))</f>
        <v>52</v>
      </c>
      <c r="B59" s="106" t="str">
        <f>'Detailed Report'!O55</f>
        <v>Fuddruckers - Concord Plaza Mall</v>
      </c>
      <c r="C59" s="107">
        <f>TRUNC('Detailed Report'!Q55,0)</f>
        <v>46024</v>
      </c>
      <c r="D59" s="108">
        <f>'Detailed Report'!P55</f>
        <v>3377609091</v>
      </c>
      <c r="E59" s="106" t="str">
        <f>'Detailed Report'!S55</f>
        <v>Successful</v>
      </c>
      <c r="F59" s="109">
        <f>IF(E59=$E$6,('Detailed Report'!Y55),IF(E59=$E$5,(0),0))</f>
        <v>444.93</v>
      </c>
      <c r="G59" s="106">
        <f>IF(E59=$E$6,('Detailed Report'!AQ55),IF(E59=$E$5,('Detailed Report'!AW55),0))</f>
        <v>390.28946999999999</v>
      </c>
      <c r="H59" s="106">
        <f>'Detailed Report'!AS55</f>
        <v>97.572370000000006</v>
      </c>
      <c r="I59" s="106">
        <f>'Detailed Report'!AT55</f>
        <v>13.6601318</v>
      </c>
      <c r="J59" s="106">
        <f>'Detailed Report'!AO55</f>
        <v>0</v>
      </c>
      <c r="K59" s="106">
        <f>'Detailed Report'!AP55</f>
        <v>0</v>
      </c>
      <c r="L59" s="106">
        <f>'Detailed Report'!AU55/1.14</f>
        <v>30.692982456140356</v>
      </c>
      <c r="M59" s="106">
        <f>'Detailed Report'!AU55-L59</f>
        <v>4.2970175438596456</v>
      </c>
      <c r="N59" s="110">
        <f>'Detailed Report'!AW55</f>
        <v>298.70699999999999</v>
      </c>
      <c r="O59" s="111">
        <f t="shared" si="19"/>
        <v>91.582470000000001</v>
      </c>
      <c r="P59" s="110">
        <f>'Detailed Report'!AM55</f>
        <v>0</v>
      </c>
      <c r="Q59" s="110">
        <f>'Detailed Report'!AN55</f>
        <v>0</v>
      </c>
      <c r="R59" s="110">
        <f>'Detailed Report'!AU55/1.14</f>
        <v>30.692982456140356</v>
      </c>
      <c r="S59" s="110">
        <f>'Detailed Report'!AU55-'........... - Otlob'!R59</f>
        <v>4.2970175438596456</v>
      </c>
      <c r="CA59" s="9">
        <v>44364</v>
      </c>
      <c r="CB59" s="9">
        <v>485577717</v>
      </c>
      <c r="CC59" s="9">
        <v>250</v>
      </c>
      <c r="CD59" s="9">
        <v>388</v>
      </c>
    </row>
    <row r="60" spans="1:98" ht="14.45" customHeight="1" x14ac:dyDescent="0.25">
      <c r="A60" s="105">
        <f>+IF(B60="","",SUBTOTAL(3,B$8:B60))</f>
        <v>53</v>
      </c>
      <c r="B60" s="106" t="str">
        <f>'Detailed Report'!O56</f>
        <v>Fuddruckers - New Maadi</v>
      </c>
      <c r="C60" s="107">
        <f>TRUNC('Detailed Report'!Q56,0)</f>
        <v>46024</v>
      </c>
      <c r="D60" s="108">
        <f>'Detailed Report'!P56</f>
        <v>3377609825</v>
      </c>
      <c r="E60" s="106" t="str">
        <f>'Detailed Report'!S56</f>
        <v>Successful</v>
      </c>
      <c r="F60" s="109">
        <f>IF(E60=$E$6,('Detailed Report'!Y56),IF(E60=$E$5,(0),0))</f>
        <v>588.99</v>
      </c>
      <c r="G60" s="106">
        <f>IF(E60=$E$6,('Detailed Report'!AQ56),IF(E60=$E$5,('Detailed Report'!AW56),0))</f>
        <v>516.65788999999995</v>
      </c>
      <c r="H60" s="106">
        <f>'Detailed Report'!AS56</f>
        <v>129.16446999999999</v>
      </c>
      <c r="I60" s="106">
        <f>'Detailed Report'!AT56</f>
        <v>18.083025800000001</v>
      </c>
      <c r="J60" s="106">
        <f>'Detailed Report'!AO56</f>
        <v>0</v>
      </c>
      <c r="K60" s="106">
        <f>'Detailed Report'!AP56</f>
        <v>0</v>
      </c>
      <c r="L60" s="106">
        <f>'Detailed Report'!AU56/1.14</f>
        <v>0</v>
      </c>
      <c r="M60" s="106">
        <f>'Detailed Report'!AU56-L60</f>
        <v>0</v>
      </c>
      <c r="N60" s="110">
        <f>'Detailed Report'!AW56</f>
        <v>441.74299999999999</v>
      </c>
      <c r="O60" s="111">
        <f t="shared" si="19"/>
        <v>74.914889999999957</v>
      </c>
      <c r="P60" s="110">
        <f>'Detailed Report'!AM56</f>
        <v>0</v>
      </c>
      <c r="Q60" s="110">
        <f>'Detailed Report'!AN56</f>
        <v>0</v>
      </c>
      <c r="R60" s="110">
        <f>'Detailed Report'!AU56/1.14</f>
        <v>0</v>
      </c>
      <c r="S60" s="110">
        <f>'Detailed Report'!AU56-'........... - Otlob'!R60</f>
        <v>0</v>
      </c>
      <c r="CA60" s="9">
        <v>44371</v>
      </c>
      <c r="CB60" s="9">
        <v>490774876</v>
      </c>
      <c r="CC60" s="9">
        <v>129</v>
      </c>
      <c r="CD60" s="9">
        <v>257</v>
      </c>
    </row>
    <row r="61" spans="1:98" ht="14.45" customHeight="1" x14ac:dyDescent="0.25">
      <c r="A61" s="105">
        <f>+IF(B61="","",SUBTOTAL(3,B$8:B61))</f>
        <v>54</v>
      </c>
      <c r="B61" s="106" t="str">
        <f>'Detailed Report'!O57</f>
        <v>Fuddruckers - Concord Plaza Mall</v>
      </c>
      <c r="C61" s="107">
        <f>TRUNC('Detailed Report'!Q57,0)</f>
        <v>46024</v>
      </c>
      <c r="D61" s="108">
        <f>'Detailed Report'!P57</f>
        <v>3377661953</v>
      </c>
      <c r="E61" s="106" t="str">
        <f>'Detailed Report'!S57</f>
        <v>Successful</v>
      </c>
      <c r="F61" s="109">
        <f>IF(E61=$E$6,('Detailed Report'!Y57),IF(E61=$E$5,(0),0))</f>
        <v>1354.62</v>
      </c>
      <c r="G61" s="106">
        <f>IF(E61=$E$6,('Detailed Report'!AQ57),IF(E61=$E$5,('Detailed Report'!AW57),0))</f>
        <v>1188.26316</v>
      </c>
      <c r="H61" s="106">
        <f>'Detailed Report'!AS57</f>
        <v>297.06578999999999</v>
      </c>
      <c r="I61" s="106">
        <f>'Detailed Report'!AT57</f>
        <v>41.589210600000001</v>
      </c>
      <c r="J61" s="106">
        <f>'Detailed Report'!AO57</f>
        <v>23.705850000000002</v>
      </c>
      <c r="K61" s="106">
        <f>'Detailed Report'!AP57</f>
        <v>3.318819</v>
      </c>
      <c r="L61" s="106">
        <f>'Detailed Report'!AU57/1.14</f>
        <v>0</v>
      </c>
      <c r="M61" s="106">
        <f>'Detailed Report'!AU57-L61</f>
        <v>0</v>
      </c>
      <c r="N61" s="110">
        <f>'Detailed Report'!AW57</f>
        <v>988.94</v>
      </c>
      <c r="O61" s="111">
        <f t="shared" si="19"/>
        <v>199.32315999999992</v>
      </c>
      <c r="P61" s="110">
        <f>'Detailed Report'!AM57</f>
        <v>0</v>
      </c>
      <c r="Q61" s="110">
        <f>'Detailed Report'!AN57</f>
        <v>0</v>
      </c>
      <c r="R61" s="110">
        <f>'Detailed Report'!AU57/1.14</f>
        <v>0</v>
      </c>
      <c r="S61" s="110">
        <f>'Detailed Report'!AU57-'........... - Otlob'!R61</f>
        <v>0</v>
      </c>
    </row>
    <row r="62" spans="1:98" ht="14.45" customHeight="1" x14ac:dyDescent="0.25">
      <c r="A62" s="105">
        <f>+IF(B62="","",SUBTOTAL(3,B$8:B62))</f>
        <v>55</v>
      </c>
      <c r="B62" s="106" t="str">
        <f>'Detailed Report'!O58</f>
        <v>Fuddruckers - Concord Plaza Mall</v>
      </c>
      <c r="C62" s="107">
        <f>TRUNC('Detailed Report'!Q58,0)</f>
        <v>46024</v>
      </c>
      <c r="D62" s="108">
        <f>'Detailed Report'!P58</f>
        <v>3377714356</v>
      </c>
      <c r="E62" s="106" t="str">
        <f>'Detailed Report'!S58</f>
        <v>Successful</v>
      </c>
      <c r="F62" s="109">
        <f>IF(E62=$E$6,('Detailed Report'!Y58),IF(E62=$E$5,(0),0))</f>
        <v>273.99</v>
      </c>
      <c r="G62" s="106">
        <f>IF(E62=$E$6,('Detailed Report'!AQ58),IF(E62=$E$5,('Detailed Report'!AW58),0))</f>
        <v>240.34210999999999</v>
      </c>
      <c r="H62" s="106">
        <f>'Detailed Report'!AS58</f>
        <v>60.085529999999999</v>
      </c>
      <c r="I62" s="106">
        <f>'Detailed Report'!AT58</f>
        <v>8.4119741999999995</v>
      </c>
      <c r="J62" s="106">
        <f>'Detailed Report'!AO58</f>
        <v>0</v>
      </c>
      <c r="K62" s="106">
        <f>'Detailed Report'!AP58</f>
        <v>0</v>
      </c>
      <c r="L62" s="106">
        <f>'Detailed Report'!AU58/1.14</f>
        <v>29.815789473684216</v>
      </c>
      <c r="M62" s="106">
        <f>'Detailed Report'!AU58-L62</f>
        <v>4.174210526315786</v>
      </c>
      <c r="N62" s="110">
        <f>'Detailed Report'!AW58</f>
        <v>171.50200000000001</v>
      </c>
      <c r="O62" s="111">
        <f t="shared" si="19"/>
        <v>68.840109999999981</v>
      </c>
      <c r="P62" s="110">
        <f>'Detailed Report'!AM58</f>
        <v>0</v>
      </c>
      <c r="Q62" s="110">
        <f>'Detailed Report'!AN58</f>
        <v>0</v>
      </c>
      <c r="R62" s="110">
        <f>'Detailed Report'!AU58/1.14</f>
        <v>29.815789473684216</v>
      </c>
      <c r="S62" s="110">
        <f>'Detailed Report'!AU58-'........... - Otlob'!R62</f>
        <v>4.174210526315786</v>
      </c>
    </row>
    <row r="63" spans="1:98" ht="14.45" customHeight="1" x14ac:dyDescent="0.25">
      <c r="A63" s="105">
        <f>+IF(B63="","",SUBTOTAL(3,B$8:B63))</f>
        <v>56</v>
      </c>
      <c r="B63" s="106" t="str">
        <f>'Detailed Report'!O59</f>
        <v>Fuddruckers - City Stars</v>
      </c>
      <c r="C63" s="107">
        <f>TRUNC('Detailed Report'!Q59,0)</f>
        <v>46024</v>
      </c>
      <c r="D63" s="108">
        <f>'Detailed Report'!P59</f>
        <v>3377742654</v>
      </c>
      <c r="E63" s="106" t="str">
        <f>'Detailed Report'!S59</f>
        <v>Successful</v>
      </c>
      <c r="F63" s="109">
        <f>IF(E63=$E$6,('Detailed Report'!Y59),IF(E63=$E$5,(0),0))</f>
        <v>384.59</v>
      </c>
      <c r="G63" s="106">
        <f>IF(E63=$E$6,('Detailed Report'!AQ59),IF(E63=$E$5,('Detailed Report'!AW59),0))</f>
        <v>337.35964999999999</v>
      </c>
      <c r="H63" s="106">
        <f>'Detailed Report'!AS59</f>
        <v>84.339910000000003</v>
      </c>
      <c r="I63" s="106">
        <f>'Detailed Report'!AT59</f>
        <v>11.807587399999999</v>
      </c>
      <c r="J63" s="106">
        <f>'Detailed Report'!AO59</f>
        <v>6.7303249999999997</v>
      </c>
      <c r="K63" s="106">
        <f>'Detailed Report'!AP59</f>
        <v>0.94224549999999996</v>
      </c>
      <c r="L63" s="106">
        <f>'Detailed Report'!AU59/1.14</f>
        <v>0</v>
      </c>
      <c r="M63" s="106">
        <f>'Detailed Report'!AU59-L63</f>
        <v>0</v>
      </c>
      <c r="N63" s="110">
        <f>'Detailed Report'!AW59</f>
        <v>246.57</v>
      </c>
      <c r="O63" s="111">
        <f t="shared" si="19"/>
        <v>90.789649999999995</v>
      </c>
      <c r="P63" s="110">
        <f>'Detailed Report'!AM59</f>
        <v>30</v>
      </c>
      <c r="Q63" s="110">
        <f>'Detailed Report'!AN59</f>
        <v>4.2</v>
      </c>
      <c r="R63" s="110">
        <f>'Detailed Report'!AU59/1.14</f>
        <v>0</v>
      </c>
      <c r="S63" s="110">
        <f>'Detailed Report'!AU59-'........... - Otlob'!R63</f>
        <v>0</v>
      </c>
    </row>
    <row r="64" spans="1:98" ht="14.45" customHeight="1" x14ac:dyDescent="0.25">
      <c r="A64" s="105">
        <f>+IF(B64="","",SUBTOTAL(3,B$8:B64))</f>
        <v>57</v>
      </c>
      <c r="B64" s="106" t="str">
        <f>'Detailed Report'!O60</f>
        <v>Fuddruckers - Concord Plaza Mall</v>
      </c>
      <c r="C64" s="107">
        <f>TRUNC('Detailed Report'!Q60,0)</f>
        <v>46024</v>
      </c>
      <c r="D64" s="108">
        <f>'Detailed Report'!P60</f>
        <v>3377771207</v>
      </c>
      <c r="E64" s="106" t="str">
        <f>'Detailed Report'!S60</f>
        <v>Successful</v>
      </c>
      <c r="F64" s="109">
        <f>IF(E64=$E$6,('Detailed Report'!Y60),IF(E64=$E$5,(0),0))</f>
        <v>538.98</v>
      </c>
      <c r="G64" s="106">
        <f>IF(E64=$E$6,('Detailed Report'!AQ60),IF(E64=$E$5,('Detailed Report'!AW60),0))</f>
        <v>472.78946999999999</v>
      </c>
      <c r="H64" s="106">
        <f>'Detailed Report'!AS60</f>
        <v>118.19737000000001</v>
      </c>
      <c r="I64" s="106">
        <f>'Detailed Report'!AT60</f>
        <v>16.547631800000001</v>
      </c>
      <c r="J64" s="106">
        <f>'Detailed Report'!AO60</f>
        <v>9.43215</v>
      </c>
      <c r="K64" s="106">
        <f>'Detailed Report'!AP60</f>
        <v>1.3205009999999999</v>
      </c>
      <c r="L64" s="106">
        <f>'Detailed Report'!AU60/1.14</f>
        <v>28.938596491228076</v>
      </c>
      <c r="M64" s="106">
        <f>'Detailed Report'!AU60-L64</f>
        <v>4.0514035087719265</v>
      </c>
      <c r="N64" s="110">
        <f>'Detailed Report'!AW60</f>
        <v>360.49200000000002</v>
      </c>
      <c r="O64" s="111">
        <f t="shared" si="19"/>
        <v>112.29746999999998</v>
      </c>
      <c r="P64" s="110">
        <f>'Detailed Report'!AM60</f>
        <v>0</v>
      </c>
      <c r="Q64" s="110">
        <f>'Detailed Report'!AN60</f>
        <v>0</v>
      </c>
      <c r="R64" s="110">
        <f>'Detailed Report'!AU60/1.14</f>
        <v>28.938596491228076</v>
      </c>
      <c r="S64" s="110">
        <f>'Detailed Report'!AU60-'........... - Otlob'!R64</f>
        <v>4.0514035087719265</v>
      </c>
    </row>
    <row r="65" spans="1:19" ht="14.45" customHeight="1" x14ac:dyDescent="0.25">
      <c r="A65" s="105">
        <f>+IF(B65="","",SUBTOTAL(3,B$8:B65))</f>
        <v>58</v>
      </c>
      <c r="B65" s="106" t="str">
        <f>'Detailed Report'!O61</f>
        <v>Fuddruckers - Concord Plaza Mall</v>
      </c>
      <c r="C65" s="107">
        <f>TRUNC('Detailed Report'!Q61,0)</f>
        <v>46024</v>
      </c>
      <c r="D65" s="108">
        <f>'Detailed Report'!P61</f>
        <v>3377781214</v>
      </c>
      <c r="E65" s="106" t="str">
        <f>'Detailed Report'!S61</f>
        <v>Successful</v>
      </c>
      <c r="F65" s="109">
        <f>IF(E65=$E$6,('Detailed Report'!Y61),IF(E65=$E$5,(0),0))</f>
        <v>1452.98</v>
      </c>
      <c r="G65" s="106">
        <f>IF(E65=$E$6,('Detailed Report'!AQ61),IF(E65=$E$5,('Detailed Report'!AW61),0))</f>
        <v>1274.54386</v>
      </c>
      <c r="H65" s="106">
        <f>'Detailed Report'!AS61</f>
        <v>318.63596999999999</v>
      </c>
      <c r="I65" s="106">
        <f>'Detailed Report'!AT61</f>
        <v>44.609035800000001</v>
      </c>
      <c r="J65" s="106">
        <f>'Detailed Report'!AO61</f>
        <v>25.427150000000001</v>
      </c>
      <c r="K65" s="106">
        <f>'Detailed Report'!AP61</f>
        <v>3.5598010000000002</v>
      </c>
      <c r="L65" s="106">
        <f>'Detailed Report'!AU61/1.14</f>
        <v>29.815789473684216</v>
      </c>
      <c r="M65" s="106">
        <f>'Detailed Report'!AU61-L65</f>
        <v>4.174210526315786</v>
      </c>
      <c r="N65" s="110">
        <f>'Detailed Report'!AW61</f>
        <v>1026.758</v>
      </c>
      <c r="O65" s="111">
        <f t="shared" si="19"/>
        <v>247.78585999999996</v>
      </c>
      <c r="P65" s="110">
        <f>'Detailed Report'!AM61</f>
        <v>0</v>
      </c>
      <c r="Q65" s="110">
        <f>'Detailed Report'!AN61</f>
        <v>0</v>
      </c>
      <c r="R65" s="110">
        <f>'Detailed Report'!AU61/1.14</f>
        <v>29.815789473684216</v>
      </c>
      <c r="S65" s="110">
        <f>'Detailed Report'!AU61-'........... - Otlob'!R65</f>
        <v>4.174210526315786</v>
      </c>
    </row>
    <row r="66" spans="1:19" ht="14.45" customHeight="1" x14ac:dyDescent="0.25">
      <c r="A66" s="105">
        <f>+IF(B66="","",SUBTOTAL(3,B$8:B66))</f>
        <v>59</v>
      </c>
      <c r="B66" s="106" t="str">
        <f>'Detailed Report'!O62</f>
        <v>Fuddruckers - New Maadi</v>
      </c>
      <c r="C66" s="107">
        <f>TRUNC('Detailed Report'!Q62,0)</f>
        <v>46024</v>
      </c>
      <c r="D66" s="108">
        <f>'Detailed Report'!P62</f>
        <v>3377888984</v>
      </c>
      <c r="E66" s="106" t="str">
        <f>'Detailed Report'!S62</f>
        <v>Successful</v>
      </c>
      <c r="F66" s="109">
        <f>IF(E66=$E$6,('Detailed Report'!Y62),IF(E66=$E$5,(0),0))</f>
        <v>487.99</v>
      </c>
      <c r="G66" s="106">
        <f>IF(E66=$E$6,('Detailed Report'!AQ62),IF(E66=$E$5,('Detailed Report'!AW62),0))</f>
        <v>428.06139999999999</v>
      </c>
      <c r="H66" s="106">
        <f>'Detailed Report'!AS62</f>
        <v>107.01535</v>
      </c>
      <c r="I66" s="106">
        <f>'Detailed Report'!AT62</f>
        <v>14.982149</v>
      </c>
      <c r="J66" s="106">
        <f>'Detailed Report'!AO62</f>
        <v>8.5398250000000004</v>
      </c>
      <c r="K66" s="106">
        <f>'Detailed Report'!AP62</f>
        <v>1.1955754999999999</v>
      </c>
      <c r="L66" s="106">
        <f>'Detailed Report'!AU62/1.14</f>
        <v>26.307017543859651</v>
      </c>
      <c r="M66" s="106">
        <f>'Detailed Report'!AU62-L66</f>
        <v>3.6829824561403477</v>
      </c>
      <c r="N66" s="110">
        <f>'Detailed Report'!AW62</f>
        <v>326.267</v>
      </c>
      <c r="O66" s="111">
        <f t="shared" si="19"/>
        <v>101.7944</v>
      </c>
      <c r="P66" s="110">
        <f>'Detailed Report'!AM62</f>
        <v>0</v>
      </c>
      <c r="Q66" s="110">
        <f>'Detailed Report'!AN62</f>
        <v>0</v>
      </c>
      <c r="R66" s="110">
        <f>'Detailed Report'!AU62/1.14</f>
        <v>26.307017543859651</v>
      </c>
      <c r="S66" s="110">
        <f>'Detailed Report'!AU62-'........... - Otlob'!R66</f>
        <v>3.6829824561403477</v>
      </c>
    </row>
    <row r="67" spans="1:19" ht="14.45" customHeight="1" x14ac:dyDescent="0.25">
      <c r="A67" s="105">
        <f>+IF(B67="","",SUBTOTAL(3,B$8:B67))</f>
        <v>60</v>
      </c>
      <c r="B67" s="106" t="str">
        <f>'Detailed Report'!O63</f>
        <v>Fuddruckers - Concord Plaza Mall</v>
      </c>
      <c r="C67" s="107">
        <f>TRUNC('Detailed Report'!Q63,0)</f>
        <v>46024</v>
      </c>
      <c r="D67" s="108">
        <f>'Detailed Report'!P63</f>
        <v>3377932929</v>
      </c>
      <c r="E67" s="106" t="str">
        <f>'Detailed Report'!S63</f>
        <v>Successful</v>
      </c>
      <c r="F67" s="109">
        <f>IF(E67=$E$6,('Detailed Report'!Y63),IF(E67=$E$5,(0),0))</f>
        <v>618.66</v>
      </c>
      <c r="G67" s="106">
        <f>IF(E67=$E$6,('Detailed Report'!AQ63),IF(E67=$E$5,('Detailed Report'!AW63),0))</f>
        <v>542.68421000000001</v>
      </c>
      <c r="H67" s="106">
        <f>'Detailed Report'!AS63</f>
        <v>135.67105000000001</v>
      </c>
      <c r="I67" s="106">
        <f>'Detailed Report'!AT63</f>
        <v>18.993946999999999</v>
      </c>
      <c r="J67" s="106">
        <f>'Detailed Report'!AO63</f>
        <v>10.826549999999999</v>
      </c>
      <c r="K67" s="106">
        <f>'Detailed Report'!AP63</f>
        <v>1.515717</v>
      </c>
      <c r="L67" s="106">
        <f>'Detailed Report'!AU63/1.14</f>
        <v>30.692982456140356</v>
      </c>
      <c r="M67" s="106">
        <f>'Detailed Report'!AU63-L67</f>
        <v>4.2970175438596456</v>
      </c>
      <c r="N67" s="110">
        <f>'Detailed Report'!AW63</f>
        <v>416.66300000000001</v>
      </c>
      <c r="O67" s="111">
        <f t="shared" si="19"/>
        <v>126.02121</v>
      </c>
      <c r="P67" s="110">
        <f>'Detailed Report'!AM63</f>
        <v>0</v>
      </c>
      <c r="Q67" s="110">
        <f>'Detailed Report'!AN63</f>
        <v>0</v>
      </c>
      <c r="R67" s="110">
        <f>'Detailed Report'!AU63/1.14</f>
        <v>30.692982456140356</v>
      </c>
      <c r="S67" s="110">
        <f>'Detailed Report'!AU63-'........... - Otlob'!R67</f>
        <v>4.2970175438596456</v>
      </c>
    </row>
    <row r="68" spans="1:19" ht="14.45" customHeight="1" x14ac:dyDescent="0.25">
      <c r="A68" s="105">
        <f>+IF(B68="","",SUBTOTAL(3,B$8:B68))</f>
        <v>61</v>
      </c>
      <c r="B68" s="106" t="str">
        <f>'Detailed Report'!O64</f>
        <v>Fuddruckers - City Stars</v>
      </c>
      <c r="C68" s="107">
        <f>TRUNC('Detailed Report'!Q64,0)</f>
        <v>46024</v>
      </c>
      <c r="D68" s="108">
        <f>'Detailed Report'!P64</f>
        <v>3377996602</v>
      </c>
      <c r="E68" s="106" t="str">
        <f>'Detailed Report'!S64</f>
        <v>Successful</v>
      </c>
      <c r="F68" s="109">
        <f>IF(E68=$E$6,('Detailed Report'!Y64),IF(E68=$E$5,(0),0))</f>
        <v>275.99</v>
      </c>
      <c r="G68" s="106">
        <f>IF(E68=$E$6,('Detailed Report'!AQ64),IF(E68=$E$5,('Detailed Report'!AW64),0))</f>
        <v>242.09648999999999</v>
      </c>
      <c r="H68" s="106">
        <f>'Detailed Report'!AS64</f>
        <v>60.524120000000003</v>
      </c>
      <c r="I68" s="106">
        <f>'Detailed Report'!AT64</f>
        <v>8.4733768000000005</v>
      </c>
      <c r="J68" s="106">
        <f>'Detailed Report'!AO64</f>
        <v>4.8298249999999996</v>
      </c>
      <c r="K68" s="106">
        <f>'Detailed Report'!AP64</f>
        <v>0.67617550000000004</v>
      </c>
      <c r="L68" s="106">
        <f>'Detailed Report'!AU64/1.14</f>
        <v>0</v>
      </c>
      <c r="M68" s="106">
        <f>'Detailed Report'!AU64-L68</f>
        <v>0</v>
      </c>
      <c r="N68" s="110">
        <f>'Detailed Report'!AW64</f>
        <v>201.48699999999999</v>
      </c>
      <c r="O68" s="111">
        <f t="shared" si="19"/>
        <v>40.609489999999994</v>
      </c>
      <c r="P68" s="110">
        <f>'Detailed Report'!AM64</f>
        <v>0</v>
      </c>
      <c r="Q68" s="110">
        <f>'Detailed Report'!AN64</f>
        <v>0</v>
      </c>
      <c r="R68" s="110">
        <f>'Detailed Report'!AU64/1.14</f>
        <v>0</v>
      </c>
      <c r="S68" s="110">
        <f>'Detailed Report'!AU64-'........... - Otlob'!R68</f>
        <v>0</v>
      </c>
    </row>
    <row r="69" spans="1:19" ht="14.45" customHeight="1" x14ac:dyDescent="0.25">
      <c r="A69" s="105">
        <f>+IF(B69="","",SUBTOTAL(3,B$8:B69))</f>
        <v>62</v>
      </c>
      <c r="B69" s="106" t="str">
        <f>'Detailed Report'!O65</f>
        <v>Fuddruckers - New Maadi</v>
      </c>
      <c r="C69" s="107">
        <f>TRUNC('Detailed Report'!Q65,0)</f>
        <v>46024</v>
      </c>
      <c r="D69" s="108">
        <f>'Detailed Report'!P65</f>
        <v>3378012974</v>
      </c>
      <c r="E69" s="106" t="str">
        <f>'Detailed Report'!S65</f>
        <v>Successful</v>
      </c>
      <c r="F69" s="109">
        <f>IF(E69=$E$6,('Detailed Report'!Y65),IF(E69=$E$5,(0),0))</f>
        <v>562.98</v>
      </c>
      <c r="G69" s="106">
        <f>IF(E69=$E$6,('Detailed Report'!AQ65),IF(E69=$E$5,('Detailed Report'!AW65),0))</f>
        <v>493.84210999999999</v>
      </c>
      <c r="H69" s="106">
        <f>'Detailed Report'!AS65</f>
        <v>123.46053000000001</v>
      </c>
      <c r="I69" s="106">
        <f>'Detailed Report'!AT65</f>
        <v>17.284474199999998</v>
      </c>
      <c r="J69" s="106">
        <f>'Detailed Report'!AO65</f>
        <v>0</v>
      </c>
      <c r="K69" s="106">
        <f>'Detailed Report'!AP65</f>
        <v>0</v>
      </c>
      <c r="L69" s="106">
        <f>'Detailed Report'!AU65/1.14</f>
        <v>23.67543859649123</v>
      </c>
      <c r="M69" s="106">
        <f>'Detailed Report'!AU65-L69</f>
        <v>3.3145614035087689</v>
      </c>
      <c r="N69" s="110">
        <f>'Detailed Report'!AW65</f>
        <v>395.245</v>
      </c>
      <c r="O69" s="111">
        <f t="shared" si="19"/>
        <v>98.597109999999986</v>
      </c>
      <c r="P69" s="110">
        <f>'Detailed Report'!AM65</f>
        <v>0</v>
      </c>
      <c r="Q69" s="110">
        <f>'Detailed Report'!AN65</f>
        <v>0</v>
      </c>
      <c r="R69" s="110">
        <f>'Detailed Report'!AU65/1.14</f>
        <v>23.67543859649123</v>
      </c>
      <c r="S69" s="110">
        <f>'Detailed Report'!AU65-'........... - Otlob'!R69</f>
        <v>3.3145614035087689</v>
      </c>
    </row>
    <row r="70" spans="1:19" ht="14.45" customHeight="1" x14ac:dyDescent="0.25">
      <c r="A70" s="105">
        <f>+IF(B70="","",SUBTOTAL(3,B$8:B70))</f>
        <v>63</v>
      </c>
      <c r="B70" s="106" t="str">
        <f>'Detailed Report'!O66</f>
        <v>Fuddruckers - Concord Plaza Mall</v>
      </c>
      <c r="C70" s="107">
        <f>TRUNC('Detailed Report'!Q66,0)</f>
        <v>46024</v>
      </c>
      <c r="D70" s="108">
        <f>'Detailed Report'!P66</f>
        <v>3378023754</v>
      </c>
      <c r="E70" s="106" t="str">
        <f>'Detailed Report'!S66</f>
        <v>Successful</v>
      </c>
      <c r="F70" s="109">
        <f>IF(E70=$E$6,('Detailed Report'!Y66),IF(E70=$E$5,(0),0))</f>
        <v>1461.96</v>
      </c>
      <c r="G70" s="106">
        <f>IF(E70=$E$6,('Detailed Report'!AQ66),IF(E70=$E$5,('Detailed Report'!AW66),0))</f>
        <v>1282.4210499999999</v>
      </c>
      <c r="H70" s="106">
        <f>'Detailed Report'!AS66</f>
        <v>320.60525999999999</v>
      </c>
      <c r="I70" s="106">
        <f>'Detailed Report'!AT66</f>
        <v>44.884736400000001</v>
      </c>
      <c r="J70" s="106">
        <f>'Detailed Report'!AO66</f>
        <v>25.584299999999999</v>
      </c>
      <c r="K70" s="106">
        <f>'Detailed Report'!AP66</f>
        <v>3.5818020000000002</v>
      </c>
      <c r="L70" s="106">
        <f>'Detailed Report'!AU66/1.14</f>
        <v>28.061403508771932</v>
      </c>
      <c r="M70" s="106">
        <f>'Detailed Report'!AU66-L70</f>
        <v>3.9285964912280669</v>
      </c>
      <c r="N70" s="110">
        <f>'Detailed Report'!AW66</f>
        <v>1035.3140000000001</v>
      </c>
      <c r="O70" s="111">
        <f t="shared" si="19"/>
        <v>247.10704999999984</v>
      </c>
      <c r="P70" s="110">
        <f>'Detailed Report'!AM66</f>
        <v>0</v>
      </c>
      <c r="Q70" s="110">
        <f>'Detailed Report'!AN66</f>
        <v>0</v>
      </c>
      <c r="R70" s="110">
        <f>'Detailed Report'!AU66/1.14</f>
        <v>28.061403508771932</v>
      </c>
      <c r="S70" s="110">
        <f>'Detailed Report'!AU66-'........... - Otlob'!R70</f>
        <v>3.9285964912280669</v>
      </c>
    </row>
    <row r="71" spans="1:19" ht="14.45" customHeight="1" x14ac:dyDescent="0.25">
      <c r="A71" s="105">
        <f>+IF(B71="","",SUBTOTAL(3,B$8:B71))</f>
        <v>64</v>
      </c>
      <c r="B71" s="106" t="str">
        <f>'Detailed Report'!O67</f>
        <v>Fuddruckers - New Maadi</v>
      </c>
      <c r="C71" s="107">
        <f>TRUNC('Detailed Report'!Q67,0)</f>
        <v>46024</v>
      </c>
      <c r="D71" s="108">
        <f>'Detailed Report'!P67</f>
        <v>3378058342</v>
      </c>
      <c r="E71" s="106" t="str">
        <f>'Detailed Report'!S67</f>
        <v>Successful</v>
      </c>
      <c r="F71" s="109">
        <f>IF(E71=$E$6,('Detailed Report'!Y67),IF(E71=$E$5,(0),0))</f>
        <v>658</v>
      </c>
      <c r="G71" s="106">
        <f>IF(E71=$E$6,('Detailed Report'!AQ67),IF(E71=$E$5,('Detailed Report'!AW67),0))</f>
        <v>577.19298000000003</v>
      </c>
      <c r="H71" s="106">
        <f>'Detailed Report'!AS67</f>
        <v>144.29825</v>
      </c>
      <c r="I71" s="106">
        <f>'Detailed Report'!AT67</f>
        <v>20.201754999999999</v>
      </c>
      <c r="J71" s="106">
        <f>'Detailed Report'!AO67</f>
        <v>11.515000000000001</v>
      </c>
      <c r="K71" s="106">
        <f>'Detailed Report'!AP67</f>
        <v>1.6121000000000001</v>
      </c>
      <c r="L71" s="106">
        <f>'Detailed Report'!AU67/1.14</f>
        <v>27.184210526315791</v>
      </c>
      <c r="M71" s="106">
        <f>'Detailed Report'!AU67-L71</f>
        <v>3.8057894736842073</v>
      </c>
      <c r="N71" s="110">
        <f>'Detailed Report'!AW67</f>
        <v>449.38299999999998</v>
      </c>
      <c r="O71" s="111">
        <f t="shared" si="19"/>
        <v>127.80998000000005</v>
      </c>
      <c r="P71" s="110">
        <f>'Detailed Report'!AM67</f>
        <v>0</v>
      </c>
      <c r="Q71" s="110">
        <f>'Detailed Report'!AN67</f>
        <v>0</v>
      </c>
      <c r="R71" s="110">
        <f>'Detailed Report'!AU67/1.14</f>
        <v>27.184210526315791</v>
      </c>
      <c r="S71" s="110">
        <f>'Detailed Report'!AU67-'........... - Otlob'!R71</f>
        <v>3.8057894736842073</v>
      </c>
    </row>
    <row r="72" spans="1:19" ht="14.45" customHeight="1" x14ac:dyDescent="0.25">
      <c r="A72" s="105">
        <f>+IF(B72="","",SUBTOTAL(3,B$8:B72))</f>
        <v>65</v>
      </c>
      <c r="B72" s="106" t="str">
        <f>'Detailed Report'!O68</f>
        <v>Fuddruckers - Concord Plaza Mall</v>
      </c>
      <c r="C72" s="107">
        <f>TRUNC('Detailed Report'!Q68,0)</f>
        <v>46024</v>
      </c>
      <c r="D72" s="108">
        <f>'Detailed Report'!P68</f>
        <v>3378070842</v>
      </c>
      <c r="E72" s="106" t="str">
        <f>'Detailed Report'!S68</f>
        <v>Successful</v>
      </c>
      <c r="F72" s="109">
        <f>IF(E72=$E$6,('Detailed Report'!Y68),IF(E72=$E$5,(0),0))</f>
        <v>889</v>
      </c>
      <c r="G72" s="106">
        <f>IF(E72=$E$6,('Detailed Report'!AQ68),IF(E72=$E$5,('Detailed Report'!AW68),0))</f>
        <v>779.82456000000002</v>
      </c>
      <c r="H72" s="106">
        <f>'Detailed Report'!AS68</f>
        <v>194.95614</v>
      </c>
      <c r="I72" s="106">
        <f>'Detailed Report'!AT68</f>
        <v>27.293859600000001</v>
      </c>
      <c r="J72" s="106">
        <f>'Detailed Report'!AO68</f>
        <v>15.557499999999999</v>
      </c>
      <c r="K72" s="106">
        <f>'Detailed Report'!AP68</f>
        <v>2.1780499999999998</v>
      </c>
      <c r="L72" s="106">
        <f>'Detailed Report'!AU68/1.14</f>
        <v>27.184210526315791</v>
      </c>
      <c r="M72" s="106">
        <f>'Detailed Report'!AU68-L72</f>
        <v>3.8057894736842073</v>
      </c>
      <c r="N72" s="110">
        <f>'Detailed Report'!AW68</f>
        <v>618.024</v>
      </c>
      <c r="O72" s="111">
        <f t="shared" si="19"/>
        <v>161.80056000000002</v>
      </c>
      <c r="P72" s="110">
        <f>'Detailed Report'!AM68</f>
        <v>0</v>
      </c>
      <c r="Q72" s="110">
        <f>'Detailed Report'!AN68</f>
        <v>0</v>
      </c>
      <c r="R72" s="110">
        <f>'Detailed Report'!AU68/1.14</f>
        <v>27.184210526315791</v>
      </c>
      <c r="S72" s="110">
        <f>'Detailed Report'!AU68-'........... - Otlob'!R72</f>
        <v>3.8057894736842073</v>
      </c>
    </row>
    <row r="73" spans="1:19" ht="14.45" customHeight="1" x14ac:dyDescent="0.25">
      <c r="A73" s="105">
        <f>+IF(B73="","",SUBTOTAL(3,B$8:B73))</f>
        <v>66</v>
      </c>
      <c r="B73" s="106" t="str">
        <f>'Detailed Report'!O69</f>
        <v>Fuddruckers - City Stars</v>
      </c>
      <c r="C73" s="107">
        <f>TRUNC('Detailed Report'!Q69,0)</f>
        <v>46024</v>
      </c>
      <c r="D73" s="108">
        <f>'Detailed Report'!P69</f>
        <v>3378171512</v>
      </c>
      <c r="E73" s="106" t="str">
        <f>'Detailed Report'!S69</f>
        <v>Successful</v>
      </c>
      <c r="F73" s="109">
        <f>IF(E73=$E$6,('Detailed Report'!Y69),IF(E73=$E$5,(0),0))</f>
        <v>788</v>
      </c>
      <c r="G73" s="106">
        <f>IF(E73=$E$6,('Detailed Report'!AQ69),IF(E73=$E$5,('Detailed Report'!AW69),0))</f>
        <v>691.22807</v>
      </c>
      <c r="H73" s="106">
        <f>'Detailed Report'!AS69</f>
        <v>172.80701999999999</v>
      </c>
      <c r="I73" s="106">
        <f>'Detailed Report'!AT69</f>
        <v>24.192982799999999</v>
      </c>
      <c r="J73" s="106">
        <f>'Detailed Report'!AO69</f>
        <v>0</v>
      </c>
      <c r="K73" s="106">
        <f>'Detailed Report'!AP69</f>
        <v>0</v>
      </c>
      <c r="L73" s="106">
        <f>'Detailed Report'!AU69/1.14</f>
        <v>25.42982456140351</v>
      </c>
      <c r="M73" s="106">
        <f>'Detailed Report'!AU69-L73</f>
        <v>3.5601754385964881</v>
      </c>
      <c r="N73" s="110">
        <f>'Detailed Report'!AW69</f>
        <v>562.01</v>
      </c>
      <c r="O73" s="111">
        <f t="shared" ref="O73:O136" si="47">G73-N73</f>
        <v>129.21807000000001</v>
      </c>
      <c r="P73" s="110">
        <f>'Detailed Report'!AM69</f>
        <v>0</v>
      </c>
      <c r="Q73" s="110">
        <f>'Detailed Report'!AN69</f>
        <v>0</v>
      </c>
      <c r="R73" s="110">
        <f>'Detailed Report'!AU69/1.14</f>
        <v>25.42982456140351</v>
      </c>
      <c r="S73" s="110">
        <f>'Detailed Report'!AU69-'........... - Otlob'!R73</f>
        <v>3.5601754385964881</v>
      </c>
    </row>
    <row r="74" spans="1:19" ht="14.45" customHeight="1" x14ac:dyDescent="0.25">
      <c r="A74" s="105">
        <f>+IF(B74="","",SUBTOTAL(3,B$8:B74))</f>
        <v>67</v>
      </c>
      <c r="B74" s="106" t="str">
        <f>'Detailed Report'!O70</f>
        <v>Fuddruckers - New Maadi</v>
      </c>
      <c r="C74" s="107">
        <f>TRUNC('Detailed Report'!Q70,0)</f>
        <v>46024</v>
      </c>
      <c r="D74" s="108">
        <f>'Detailed Report'!P70</f>
        <v>3378249811</v>
      </c>
      <c r="E74" s="106" t="str">
        <f>'Detailed Report'!S70</f>
        <v>Successful</v>
      </c>
      <c r="F74" s="109">
        <f>IF(E74=$E$6,('Detailed Report'!Y70),IF(E74=$E$5,(0),0))</f>
        <v>818.58</v>
      </c>
      <c r="G74" s="106">
        <f>IF(E74=$E$6,('Detailed Report'!AQ70),IF(E74=$E$5,('Detailed Report'!AW70),0))</f>
        <v>718.05263000000002</v>
      </c>
      <c r="H74" s="106">
        <f>'Detailed Report'!AS70</f>
        <v>179.51316</v>
      </c>
      <c r="I74" s="106">
        <f>'Detailed Report'!AT70</f>
        <v>25.1318424</v>
      </c>
      <c r="J74" s="106">
        <f>'Detailed Report'!AO70</f>
        <v>14.325150000000001</v>
      </c>
      <c r="K74" s="106">
        <f>'Detailed Report'!AP70</f>
        <v>2.0055209999999999</v>
      </c>
      <c r="L74" s="106">
        <f>'Detailed Report'!AU70/1.14</f>
        <v>27.184210526315791</v>
      </c>
      <c r="M74" s="106">
        <f>'Detailed Report'!AU70-L74</f>
        <v>3.8057894736842073</v>
      </c>
      <c r="N74" s="110">
        <f>'Detailed Report'!AW70</f>
        <v>566.61400000000003</v>
      </c>
      <c r="O74" s="111">
        <f t="shared" si="47"/>
        <v>151.43862999999999</v>
      </c>
      <c r="P74" s="110">
        <f>'Detailed Report'!AM70</f>
        <v>0</v>
      </c>
      <c r="Q74" s="110">
        <f>'Detailed Report'!AN70</f>
        <v>0</v>
      </c>
      <c r="R74" s="110">
        <f>'Detailed Report'!AU70/1.14</f>
        <v>27.184210526315791</v>
      </c>
      <c r="S74" s="110">
        <f>'Detailed Report'!AU70-'........... - Otlob'!R74</f>
        <v>3.8057894736842073</v>
      </c>
    </row>
    <row r="75" spans="1:19" ht="14.45" customHeight="1" x14ac:dyDescent="0.25">
      <c r="A75" s="105">
        <f>+IF(B75="","",SUBTOTAL(3,B$8:B75))</f>
        <v>68</v>
      </c>
      <c r="B75" s="106" t="str">
        <f>'Detailed Report'!O71</f>
        <v>Fuddruckers - New Maadi</v>
      </c>
      <c r="C75" s="107">
        <f>TRUNC('Detailed Report'!Q71,0)</f>
        <v>46024</v>
      </c>
      <c r="D75" s="108">
        <f>'Detailed Report'!P71</f>
        <v>3378272641</v>
      </c>
      <c r="E75" s="106" t="str">
        <f>'Detailed Report'!S71</f>
        <v>Successful</v>
      </c>
      <c r="F75" s="109">
        <f>IF(E75=$E$6,('Detailed Report'!Y71),IF(E75=$E$5,(0),0))</f>
        <v>179.99</v>
      </c>
      <c r="G75" s="106">
        <f>IF(E75=$E$6,('Detailed Report'!AQ71),IF(E75=$E$5,('Detailed Report'!AW71),0))</f>
        <v>157.88596000000001</v>
      </c>
      <c r="H75" s="106">
        <f>'Detailed Report'!AS71</f>
        <v>39.471490000000003</v>
      </c>
      <c r="I75" s="106">
        <f>'Detailed Report'!AT71</f>
        <v>5.5260085999999999</v>
      </c>
      <c r="J75" s="106">
        <f>'Detailed Report'!AO71</f>
        <v>0</v>
      </c>
      <c r="K75" s="106">
        <f>'Detailed Report'!AP71</f>
        <v>0</v>
      </c>
      <c r="L75" s="106">
        <f>'Detailed Report'!AU71/1.14</f>
        <v>24.55263157894737</v>
      </c>
      <c r="M75" s="106">
        <f>'Detailed Report'!AU71-L75</f>
        <v>3.4373684210526285</v>
      </c>
      <c r="N75" s="110">
        <f>'Detailed Report'!AW71</f>
        <v>107.003</v>
      </c>
      <c r="O75" s="111">
        <f t="shared" si="47"/>
        <v>50.882960000000011</v>
      </c>
      <c r="P75" s="110">
        <f>'Detailed Report'!AM71</f>
        <v>0</v>
      </c>
      <c r="Q75" s="110">
        <f>'Detailed Report'!AN71</f>
        <v>0</v>
      </c>
      <c r="R75" s="110">
        <f>'Detailed Report'!AU71/1.14</f>
        <v>24.55263157894737</v>
      </c>
      <c r="S75" s="110">
        <f>'Detailed Report'!AU71-'........... - Otlob'!R75</f>
        <v>3.4373684210526285</v>
      </c>
    </row>
    <row r="76" spans="1:19" ht="15" customHeight="1" x14ac:dyDescent="0.25">
      <c r="A76" s="105">
        <f>+IF(B76="","",SUBTOTAL(3,B$8:B76))</f>
        <v>69</v>
      </c>
      <c r="B76" s="106" t="str">
        <f>'Detailed Report'!O72</f>
        <v>Fuddruckers - New Maadi</v>
      </c>
      <c r="C76" s="107">
        <f>TRUNC('Detailed Report'!Q72,0)</f>
        <v>46025</v>
      </c>
      <c r="D76" s="108">
        <f>'Detailed Report'!P72</f>
        <v>3379099497</v>
      </c>
      <c r="E76" s="106" t="str">
        <f>'Detailed Report'!S72</f>
        <v>Successful</v>
      </c>
      <c r="F76" s="109">
        <f>IF(E76=$E$6,('Detailed Report'!Y72),IF(E76=$E$5,(0),0))</f>
        <v>519.98</v>
      </c>
      <c r="G76" s="106">
        <f>IF(E76=$E$6,('Detailed Report'!AQ72),IF(E76=$E$5,('Detailed Report'!AW72),0))</f>
        <v>456.12281000000002</v>
      </c>
      <c r="H76" s="106">
        <f>'Detailed Report'!AS72</f>
        <v>114.0307</v>
      </c>
      <c r="I76" s="106">
        <f>'Detailed Report'!AT72</f>
        <v>15.964297999999999</v>
      </c>
      <c r="J76" s="106">
        <f>'Detailed Report'!AO72</f>
        <v>9.0996500000000005</v>
      </c>
      <c r="K76" s="106">
        <f>'Detailed Report'!AP72</f>
        <v>1.2739510000000001</v>
      </c>
      <c r="L76" s="106">
        <f>'Detailed Report'!AU72/1.14</f>
        <v>26.307017543859651</v>
      </c>
      <c r="M76" s="106">
        <f>'Detailed Report'!AU72-L76</f>
        <v>3.6829824561403477</v>
      </c>
      <c r="N76" s="110">
        <f>'Detailed Report'!AW72</f>
        <v>349.62099999999998</v>
      </c>
      <c r="O76" s="111">
        <f t="shared" si="47"/>
        <v>106.50181000000003</v>
      </c>
      <c r="P76" s="110">
        <f>'Detailed Report'!AM72</f>
        <v>0</v>
      </c>
      <c r="Q76" s="110">
        <f>'Detailed Report'!AN72</f>
        <v>0</v>
      </c>
      <c r="R76" s="110">
        <f>'Detailed Report'!AU72/1.14</f>
        <v>26.307017543859651</v>
      </c>
      <c r="S76" s="110">
        <f>'Detailed Report'!AU72-'........... - Otlob'!R76</f>
        <v>3.6829824561403477</v>
      </c>
    </row>
    <row r="77" spans="1:19" ht="14.45" customHeight="1" x14ac:dyDescent="0.25">
      <c r="A77" s="105">
        <f>+IF(B77="","",SUBTOTAL(3,B$8:B77))</f>
        <v>70</v>
      </c>
      <c r="B77" s="106" t="str">
        <f>'Detailed Report'!O73</f>
        <v>Fuddruckers - New Maadi</v>
      </c>
      <c r="C77" s="107">
        <f>TRUNC('Detailed Report'!Q73,0)</f>
        <v>46025</v>
      </c>
      <c r="D77" s="108">
        <f>'Detailed Report'!P73</f>
        <v>3379155517</v>
      </c>
      <c r="E77" s="106" t="str">
        <f>'Detailed Report'!S73</f>
        <v>Successful</v>
      </c>
      <c r="F77" s="109">
        <f>IF(E77=$E$6,('Detailed Report'!Y73),IF(E77=$E$5,(0),0))</f>
        <v>686.98</v>
      </c>
      <c r="G77" s="106">
        <f>IF(E77=$E$6,('Detailed Report'!AQ73),IF(E77=$E$5,('Detailed Report'!AW73),0))</f>
        <v>602.61404000000005</v>
      </c>
      <c r="H77" s="106">
        <f>'Detailed Report'!AS73</f>
        <v>150.65351000000001</v>
      </c>
      <c r="I77" s="106">
        <f>'Detailed Report'!AT73</f>
        <v>21.091491399999999</v>
      </c>
      <c r="J77" s="106">
        <f>'Detailed Report'!AO73</f>
        <v>12.02215</v>
      </c>
      <c r="K77" s="106">
        <f>'Detailed Report'!AP73</f>
        <v>1.683101</v>
      </c>
      <c r="L77" s="106">
        <f>'Detailed Report'!AU73/1.14</f>
        <v>26.307017543859651</v>
      </c>
      <c r="M77" s="106">
        <f>'Detailed Report'!AU73-L77</f>
        <v>3.6829824561403477</v>
      </c>
      <c r="N77" s="110">
        <f>'Detailed Report'!AW73</f>
        <v>471.54</v>
      </c>
      <c r="O77" s="111">
        <f t="shared" si="47"/>
        <v>131.07404000000002</v>
      </c>
      <c r="P77" s="110">
        <f>'Detailed Report'!AM73</f>
        <v>0</v>
      </c>
      <c r="Q77" s="110">
        <f>'Detailed Report'!AN73</f>
        <v>0</v>
      </c>
      <c r="R77" s="110">
        <f>'Detailed Report'!AU73/1.14</f>
        <v>26.307017543859651</v>
      </c>
      <c r="S77" s="110">
        <f>'Detailed Report'!AU73-'........... - Otlob'!R77</f>
        <v>3.6829824561403477</v>
      </c>
    </row>
    <row r="78" spans="1:19" ht="15" customHeight="1" x14ac:dyDescent="0.25">
      <c r="A78" s="105">
        <f>+IF(B78="","",SUBTOTAL(3,B$8:B78))</f>
        <v>71</v>
      </c>
      <c r="B78" s="106" t="str">
        <f>'Detailed Report'!O74</f>
        <v>Fuddruckers - City Stars</v>
      </c>
      <c r="C78" s="107">
        <f>TRUNC('Detailed Report'!Q74,0)</f>
        <v>46025</v>
      </c>
      <c r="D78" s="108">
        <f>'Detailed Report'!P74</f>
        <v>3379244873</v>
      </c>
      <c r="E78" s="106" t="str">
        <f>'Detailed Report'!S74</f>
        <v>Successful</v>
      </c>
      <c r="F78" s="109">
        <f>IF(E78=$E$6,('Detailed Report'!Y74),IF(E78=$E$5,(0),0))</f>
        <v>426.82</v>
      </c>
      <c r="G78" s="106">
        <f>IF(E78=$E$6,('Detailed Report'!AQ74),IF(E78=$E$5,('Detailed Report'!AW74),0))</f>
        <v>374.40350999999998</v>
      </c>
      <c r="H78" s="106">
        <f>'Detailed Report'!AS74</f>
        <v>93.600880000000004</v>
      </c>
      <c r="I78" s="106">
        <f>'Detailed Report'!AT74</f>
        <v>13.1041232</v>
      </c>
      <c r="J78" s="106">
        <f>'Detailed Report'!AO74</f>
        <v>0</v>
      </c>
      <c r="K78" s="106">
        <f>'Detailed Report'!AP74</f>
        <v>0</v>
      </c>
      <c r="L78" s="106">
        <f>'Detailed Report'!AU74/1.14</f>
        <v>27.184210526315791</v>
      </c>
      <c r="M78" s="106">
        <f>'Detailed Report'!AU74-L78</f>
        <v>3.8057894736842073</v>
      </c>
      <c r="N78" s="110">
        <f>'Detailed Report'!AW74</f>
        <v>289.125</v>
      </c>
      <c r="O78" s="111">
        <f t="shared" si="47"/>
        <v>85.278509999999983</v>
      </c>
      <c r="P78" s="110">
        <f>'Detailed Report'!AM74</f>
        <v>0</v>
      </c>
      <c r="Q78" s="110">
        <f>'Detailed Report'!AN74</f>
        <v>0</v>
      </c>
      <c r="R78" s="110">
        <f>'Detailed Report'!AU74/1.14</f>
        <v>27.184210526315791</v>
      </c>
      <c r="S78" s="110">
        <f>'Detailed Report'!AU74-'........... - Otlob'!R78</f>
        <v>3.8057894736842073</v>
      </c>
    </row>
    <row r="79" spans="1:19" ht="14.45" customHeight="1" x14ac:dyDescent="0.25">
      <c r="A79" s="105">
        <f>+IF(B79="","",SUBTOTAL(3,B$8:B79))</f>
        <v>72</v>
      </c>
      <c r="B79" s="106" t="str">
        <f>'Detailed Report'!O75</f>
        <v>Fuddruckers - Concord Plaza Mall</v>
      </c>
      <c r="C79" s="107">
        <f>TRUNC('Detailed Report'!Q75,0)</f>
        <v>46025</v>
      </c>
      <c r="D79" s="108">
        <f>'Detailed Report'!P75</f>
        <v>3379248985</v>
      </c>
      <c r="E79" s="106" t="str">
        <f>'Detailed Report'!S75</f>
        <v>Successful</v>
      </c>
      <c r="F79" s="109">
        <f>IF(E79=$E$6,('Detailed Report'!Y75),IF(E79=$E$5,(0),0))</f>
        <v>897.97</v>
      </c>
      <c r="G79" s="106">
        <f>IF(E79=$E$6,('Detailed Report'!AQ75),IF(E79=$E$5,('Detailed Report'!AW75),0))</f>
        <v>787.69298000000003</v>
      </c>
      <c r="H79" s="106">
        <f>'Detailed Report'!AS75</f>
        <v>196.92325</v>
      </c>
      <c r="I79" s="106">
        <f>'Detailed Report'!AT75</f>
        <v>27.569254999999998</v>
      </c>
      <c r="J79" s="106">
        <f>'Detailed Report'!AO75</f>
        <v>15.714475</v>
      </c>
      <c r="K79" s="106">
        <f>'Detailed Report'!AP75</f>
        <v>2.2000264999999999</v>
      </c>
      <c r="L79" s="106">
        <f>'Detailed Report'!AU75/1.14</f>
        <v>29.815789473684216</v>
      </c>
      <c r="M79" s="106">
        <f>'Detailed Report'!AU75-L79</f>
        <v>4.174210526315786</v>
      </c>
      <c r="N79" s="110">
        <f>'Detailed Report'!AW75</f>
        <v>621.57299999999998</v>
      </c>
      <c r="O79" s="111">
        <f t="shared" si="47"/>
        <v>166.11998000000006</v>
      </c>
      <c r="P79" s="110">
        <f>'Detailed Report'!AM75</f>
        <v>0</v>
      </c>
      <c r="Q79" s="110">
        <f>'Detailed Report'!AN75</f>
        <v>0</v>
      </c>
      <c r="R79" s="110">
        <f>'Detailed Report'!AU75/1.14</f>
        <v>29.815789473684216</v>
      </c>
      <c r="S79" s="110">
        <f>'Detailed Report'!AU75-'........... - Otlob'!R79</f>
        <v>4.174210526315786</v>
      </c>
    </row>
    <row r="80" spans="1:19" ht="14.45" customHeight="1" x14ac:dyDescent="0.25">
      <c r="A80" s="105">
        <f>+IF(B80="","",SUBTOTAL(3,B$8:B80))</f>
        <v>73</v>
      </c>
      <c r="B80" s="106" t="str">
        <f>'Detailed Report'!O76</f>
        <v>Fuddruckers - New Maadi</v>
      </c>
      <c r="C80" s="107">
        <f>TRUNC('Detailed Report'!Q76,0)</f>
        <v>46025</v>
      </c>
      <c r="D80" s="108">
        <f>'Detailed Report'!P76</f>
        <v>3379251739</v>
      </c>
      <c r="E80" s="106" t="str">
        <f>'Detailed Report'!S76</f>
        <v>Successful</v>
      </c>
      <c r="F80" s="109">
        <f>IF(E80=$E$6,('Detailed Report'!Y76),IF(E80=$E$5,(0),0))</f>
        <v>844</v>
      </c>
      <c r="G80" s="106">
        <f>IF(E80=$E$6,('Detailed Report'!AQ76),IF(E80=$E$5,('Detailed Report'!AW76),0))</f>
        <v>740.35087999999996</v>
      </c>
      <c r="H80" s="106">
        <f>'Detailed Report'!AS76</f>
        <v>185.08771999999999</v>
      </c>
      <c r="I80" s="106">
        <f>'Detailed Report'!AT76</f>
        <v>25.912280800000001</v>
      </c>
      <c r="J80" s="106">
        <f>'Detailed Report'!AO76</f>
        <v>14.77</v>
      </c>
      <c r="K80" s="106">
        <f>'Detailed Report'!AP76</f>
        <v>2.0678000000000001</v>
      </c>
      <c r="L80" s="106">
        <f>'Detailed Report'!AU76/1.14</f>
        <v>0</v>
      </c>
      <c r="M80" s="106">
        <f>'Detailed Report'!AU76-L80</f>
        <v>0</v>
      </c>
      <c r="N80" s="110">
        <f>'Detailed Report'!AW76</f>
        <v>581.96199999999999</v>
      </c>
      <c r="O80" s="111">
        <f t="shared" si="47"/>
        <v>158.38887999999997</v>
      </c>
      <c r="P80" s="110">
        <f>'Detailed Report'!AM76</f>
        <v>30</v>
      </c>
      <c r="Q80" s="110">
        <f>'Detailed Report'!AN76</f>
        <v>4.2</v>
      </c>
      <c r="R80" s="110">
        <f>'Detailed Report'!AU76/1.14</f>
        <v>0</v>
      </c>
      <c r="S80" s="110">
        <f>'Detailed Report'!AU76-'........... - Otlob'!R80</f>
        <v>0</v>
      </c>
    </row>
    <row r="81" spans="1:19" ht="14.45" customHeight="1" x14ac:dyDescent="0.25">
      <c r="A81" s="105">
        <f>+IF(B81="","",SUBTOTAL(3,B$8:B81))</f>
        <v>74</v>
      </c>
      <c r="B81" s="106" t="str">
        <f>'Detailed Report'!O77</f>
        <v>Fuddruckers - New Maadi</v>
      </c>
      <c r="C81" s="107">
        <f>TRUNC('Detailed Report'!Q77,0)</f>
        <v>46025</v>
      </c>
      <c r="D81" s="108">
        <f>'Detailed Report'!P77</f>
        <v>3379300397</v>
      </c>
      <c r="E81" s="106" t="str">
        <f>'Detailed Report'!S77</f>
        <v>Successful</v>
      </c>
      <c r="F81" s="109">
        <f>IF(E81=$E$6,('Detailed Report'!Y77),IF(E81=$E$5,(0),0))</f>
        <v>844</v>
      </c>
      <c r="G81" s="106">
        <f>IF(E81=$E$6,('Detailed Report'!AQ77),IF(E81=$E$5,('Detailed Report'!AW77),0))</f>
        <v>740.35087999999996</v>
      </c>
      <c r="H81" s="106">
        <f>'Detailed Report'!AS77</f>
        <v>185.08771999999999</v>
      </c>
      <c r="I81" s="106">
        <f>'Detailed Report'!AT77</f>
        <v>25.912280800000001</v>
      </c>
      <c r="J81" s="106">
        <f>'Detailed Report'!AO77</f>
        <v>0</v>
      </c>
      <c r="K81" s="106">
        <f>'Detailed Report'!AP77</f>
        <v>0</v>
      </c>
      <c r="L81" s="106">
        <f>'Detailed Report'!AU77/1.14</f>
        <v>0</v>
      </c>
      <c r="M81" s="106">
        <f>'Detailed Report'!AU77-L81</f>
        <v>0</v>
      </c>
      <c r="N81" s="110">
        <f>'Detailed Report'!AW77</f>
        <v>633</v>
      </c>
      <c r="O81" s="111">
        <f t="shared" si="47"/>
        <v>107.35087999999996</v>
      </c>
      <c r="P81" s="110">
        <f>'Detailed Report'!AM77</f>
        <v>0</v>
      </c>
      <c r="Q81" s="110">
        <f>'Detailed Report'!AN77</f>
        <v>0</v>
      </c>
      <c r="R81" s="110">
        <f>'Detailed Report'!AU77/1.14</f>
        <v>0</v>
      </c>
      <c r="S81" s="110">
        <f>'Detailed Report'!AU77-'........... - Otlob'!R81</f>
        <v>0</v>
      </c>
    </row>
    <row r="82" spans="1:19" ht="15" customHeight="1" x14ac:dyDescent="0.25">
      <c r="A82" s="105">
        <f>+IF(B82="","",SUBTOTAL(3,B$8:B82))</f>
        <v>75</v>
      </c>
      <c r="B82" s="106" t="str">
        <f>'Detailed Report'!O78</f>
        <v>Fuddruckers - Concord Plaza Mall</v>
      </c>
      <c r="C82" s="107">
        <f>TRUNC('Detailed Report'!Q78,0)</f>
        <v>46025</v>
      </c>
      <c r="D82" s="108">
        <f>'Detailed Report'!P78</f>
        <v>3379359308</v>
      </c>
      <c r="E82" s="106" t="str">
        <f>'Detailed Report'!S78</f>
        <v>Successful</v>
      </c>
      <c r="F82" s="109">
        <f>IF(E82=$E$6,('Detailed Report'!Y78),IF(E82=$E$5,(0),0))</f>
        <v>639.99</v>
      </c>
      <c r="G82" s="106">
        <f>IF(E82=$E$6,('Detailed Report'!AQ78),IF(E82=$E$5,('Detailed Report'!AW78),0))</f>
        <v>561.39473999999996</v>
      </c>
      <c r="H82" s="106">
        <f>'Detailed Report'!AS78</f>
        <v>140.34869</v>
      </c>
      <c r="I82" s="106">
        <f>'Detailed Report'!AT78</f>
        <v>19.6488166</v>
      </c>
      <c r="J82" s="106">
        <f>'Detailed Report'!AO78</f>
        <v>11.199825000000001</v>
      </c>
      <c r="K82" s="106">
        <f>'Detailed Report'!AP78</f>
        <v>1.5679755</v>
      </c>
      <c r="L82" s="106">
        <f>'Detailed Report'!AU78/1.14</f>
        <v>28.938596491228076</v>
      </c>
      <c r="M82" s="106">
        <f>'Detailed Report'!AU78-L82</f>
        <v>4.0514035087719265</v>
      </c>
      <c r="N82" s="110">
        <f>'Detailed Report'!AW78</f>
        <v>434.23500000000001</v>
      </c>
      <c r="O82" s="111">
        <f t="shared" si="47"/>
        <v>127.15973999999994</v>
      </c>
      <c r="P82" s="110">
        <f>'Detailed Report'!AM78</f>
        <v>0</v>
      </c>
      <c r="Q82" s="110">
        <f>'Detailed Report'!AN78</f>
        <v>0</v>
      </c>
      <c r="R82" s="110">
        <f>'Detailed Report'!AU78/1.14</f>
        <v>28.938596491228076</v>
      </c>
      <c r="S82" s="110">
        <f>'Detailed Report'!AU78-'........... - Otlob'!R82</f>
        <v>4.0514035087719265</v>
      </c>
    </row>
    <row r="83" spans="1:19" ht="15" customHeight="1" x14ac:dyDescent="0.25">
      <c r="A83" s="105">
        <f>+IF(B83="","",SUBTOTAL(3,B$8:B83))</f>
        <v>76</v>
      </c>
      <c r="B83" s="106" t="str">
        <f>'Detailed Report'!O79</f>
        <v>Fuddruckers - New Maadi</v>
      </c>
      <c r="C83" s="107">
        <f>TRUNC('Detailed Report'!Q79,0)</f>
        <v>46025</v>
      </c>
      <c r="D83" s="108">
        <f>'Detailed Report'!P79</f>
        <v>3379385769</v>
      </c>
      <c r="E83" s="106" t="str">
        <f>'Detailed Report'!S79</f>
        <v>Successful</v>
      </c>
      <c r="F83" s="109">
        <f>IF(E83=$E$6,('Detailed Report'!Y79),IF(E83=$E$5,(0),0))</f>
        <v>591.98</v>
      </c>
      <c r="G83" s="106">
        <f>IF(E83=$E$6,('Detailed Report'!AQ79),IF(E83=$E$5,('Detailed Report'!AW79),0))</f>
        <v>519.28070000000002</v>
      </c>
      <c r="H83" s="106">
        <f>'Detailed Report'!AS79</f>
        <v>129.82017999999999</v>
      </c>
      <c r="I83" s="106">
        <f>'Detailed Report'!AT79</f>
        <v>18.174825200000001</v>
      </c>
      <c r="J83" s="106">
        <f>'Detailed Report'!AO79</f>
        <v>10.35965</v>
      </c>
      <c r="K83" s="106">
        <f>'Detailed Report'!AP79</f>
        <v>1.4503509999999999</v>
      </c>
      <c r="L83" s="106">
        <f>'Detailed Report'!AU79/1.14</f>
        <v>26.307017543859651</v>
      </c>
      <c r="M83" s="106">
        <f>'Detailed Report'!AU79-L83</f>
        <v>3.6829824561403477</v>
      </c>
      <c r="N83" s="110">
        <f>'Detailed Report'!AW79</f>
        <v>402.185</v>
      </c>
      <c r="O83" s="111">
        <f t="shared" si="47"/>
        <v>117.09570000000002</v>
      </c>
      <c r="P83" s="110">
        <f>'Detailed Report'!AM79</f>
        <v>0</v>
      </c>
      <c r="Q83" s="110">
        <f>'Detailed Report'!AN79</f>
        <v>0</v>
      </c>
      <c r="R83" s="110">
        <f>'Detailed Report'!AU79/1.14</f>
        <v>26.307017543859651</v>
      </c>
      <c r="S83" s="110">
        <f>'Detailed Report'!AU79-'........... - Otlob'!R83</f>
        <v>3.6829824561403477</v>
      </c>
    </row>
    <row r="84" spans="1:19" ht="15" customHeight="1" x14ac:dyDescent="0.25">
      <c r="A84" s="105">
        <f>+IF(B84="","",SUBTOTAL(3,B$8:B84))</f>
        <v>77</v>
      </c>
      <c r="B84" s="106" t="str">
        <f>'Detailed Report'!O80</f>
        <v>Fuddruckers - New Maadi</v>
      </c>
      <c r="C84" s="107">
        <f>TRUNC('Detailed Report'!Q80,0)</f>
        <v>46025</v>
      </c>
      <c r="D84" s="108">
        <f>'Detailed Report'!P80</f>
        <v>3379410030</v>
      </c>
      <c r="E84" s="106" t="str">
        <f>'Detailed Report'!S80</f>
        <v>Successful</v>
      </c>
      <c r="F84" s="109">
        <f>IF(E84=$E$6,('Detailed Report'!Y80),IF(E84=$E$5,(0),0))</f>
        <v>1046.96</v>
      </c>
      <c r="G84" s="106">
        <f>IF(E84=$E$6,('Detailed Report'!AQ80),IF(E84=$E$5,('Detailed Report'!AW80),0))</f>
        <v>918.38595999999995</v>
      </c>
      <c r="H84" s="106">
        <f>'Detailed Report'!AS80</f>
        <v>229.59648999999999</v>
      </c>
      <c r="I84" s="106">
        <f>'Detailed Report'!AT80</f>
        <v>32.143508599999997</v>
      </c>
      <c r="J84" s="106">
        <f>'Detailed Report'!AO80</f>
        <v>18.3218</v>
      </c>
      <c r="K84" s="106">
        <f>'Detailed Report'!AP80</f>
        <v>2.5650520000000001</v>
      </c>
      <c r="L84" s="106">
        <f>'Detailed Report'!AU80/1.14</f>
        <v>26.307017543859651</v>
      </c>
      <c r="M84" s="106">
        <f>'Detailed Report'!AU80-L84</f>
        <v>3.6829824561403477</v>
      </c>
      <c r="N84" s="110">
        <f>'Detailed Report'!AW80</f>
        <v>734.34299999999996</v>
      </c>
      <c r="O84" s="111">
        <f t="shared" si="47"/>
        <v>184.04295999999999</v>
      </c>
      <c r="P84" s="110">
        <f>'Detailed Report'!AM80</f>
        <v>0</v>
      </c>
      <c r="Q84" s="110">
        <f>'Detailed Report'!AN80</f>
        <v>0</v>
      </c>
      <c r="R84" s="110">
        <f>'Detailed Report'!AU80/1.14</f>
        <v>26.307017543859651</v>
      </c>
      <c r="S84" s="110">
        <f>'Detailed Report'!AU80-'........... - Otlob'!R84</f>
        <v>3.6829824561403477</v>
      </c>
    </row>
    <row r="85" spans="1:19" ht="14.45" customHeight="1" x14ac:dyDescent="0.25">
      <c r="A85" s="105">
        <f>+IF(B85="","",SUBTOTAL(3,B$8:B85))</f>
        <v>78</v>
      </c>
      <c r="B85" s="106" t="str">
        <f>'Detailed Report'!O81</f>
        <v>Fuddruckers - New Maadi</v>
      </c>
      <c r="C85" s="107">
        <f>TRUNC('Detailed Report'!Q81,0)</f>
        <v>46025</v>
      </c>
      <c r="D85" s="108">
        <f>'Detailed Report'!P81</f>
        <v>3379465210</v>
      </c>
      <c r="E85" s="106" t="str">
        <f>'Detailed Report'!S81</f>
        <v>Successful</v>
      </c>
      <c r="F85" s="109">
        <f>IF(E85=$E$6,('Detailed Report'!Y81),IF(E85=$E$5,(0),0))</f>
        <v>253.99</v>
      </c>
      <c r="G85" s="106">
        <f>IF(E85=$E$6,('Detailed Report'!AQ81),IF(E85=$E$5,('Detailed Report'!AW81),0))</f>
        <v>222.79825</v>
      </c>
      <c r="H85" s="106">
        <f>'Detailed Report'!AS81</f>
        <v>55.699559999999998</v>
      </c>
      <c r="I85" s="106">
        <f>'Detailed Report'!AT81</f>
        <v>7.7979383999999996</v>
      </c>
      <c r="J85" s="106">
        <f>'Detailed Report'!AO81</f>
        <v>4.4448249999999998</v>
      </c>
      <c r="K85" s="106">
        <f>'Detailed Report'!AP81</f>
        <v>0.62227549999999998</v>
      </c>
      <c r="L85" s="106">
        <f>'Detailed Report'!AU81/1.14</f>
        <v>23.67543859649123</v>
      </c>
      <c r="M85" s="106">
        <f>'Detailed Report'!AU81-L85</f>
        <v>3.3145614035087689</v>
      </c>
      <c r="N85" s="110">
        <f>'Detailed Report'!AW81</f>
        <v>158.435</v>
      </c>
      <c r="O85" s="111">
        <f t="shared" si="47"/>
        <v>64.363249999999994</v>
      </c>
      <c r="P85" s="110">
        <f>'Detailed Report'!AM81</f>
        <v>0</v>
      </c>
      <c r="Q85" s="110">
        <f>'Detailed Report'!AN81</f>
        <v>0</v>
      </c>
      <c r="R85" s="110">
        <f>'Detailed Report'!AU81/1.14</f>
        <v>23.67543859649123</v>
      </c>
      <c r="S85" s="110">
        <f>'Detailed Report'!AU81-'........... - Otlob'!R85</f>
        <v>3.3145614035087689</v>
      </c>
    </row>
    <row r="86" spans="1:19" ht="15" customHeight="1" x14ac:dyDescent="0.25">
      <c r="A86" s="105">
        <f>+IF(B86="","",SUBTOTAL(3,B$8:B86))</f>
        <v>79</v>
      </c>
      <c r="B86" s="106" t="str">
        <f>'Detailed Report'!O82</f>
        <v>Fuddruckers - New Maadi</v>
      </c>
      <c r="C86" s="107">
        <f>TRUNC('Detailed Report'!Q82,0)</f>
        <v>46025</v>
      </c>
      <c r="D86" s="108">
        <f>'Detailed Report'!P82</f>
        <v>3379500375</v>
      </c>
      <c r="E86" s="106" t="str">
        <f>'Detailed Report'!S82</f>
        <v>Successful</v>
      </c>
      <c r="F86" s="109">
        <f>IF(E86=$E$6,('Detailed Report'!Y82),IF(E86=$E$5,(0),0))</f>
        <v>335.98</v>
      </c>
      <c r="G86" s="106">
        <f>IF(E86=$E$6,('Detailed Report'!AQ82),IF(E86=$E$5,('Detailed Report'!AW82),0))</f>
        <v>294.71929999999998</v>
      </c>
      <c r="H86" s="106">
        <f>'Detailed Report'!AS82</f>
        <v>73.679829999999995</v>
      </c>
      <c r="I86" s="106">
        <f>'Detailed Report'!AT82</f>
        <v>10.3151762</v>
      </c>
      <c r="J86" s="106">
        <f>'Detailed Report'!AO82</f>
        <v>5.8796499999999998</v>
      </c>
      <c r="K86" s="106">
        <f>'Detailed Report'!AP82</f>
        <v>0.82315099999999997</v>
      </c>
      <c r="L86" s="106">
        <f>'Detailed Report'!AU82/1.14</f>
        <v>23.67543859649123</v>
      </c>
      <c r="M86" s="106">
        <f>'Detailed Report'!AU82-L86</f>
        <v>3.3145614035087689</v>
      </c>
      <c r="N86" s="110">
        <f>'Detailed Report'!AW82</f>
        <v>218.292</v>
      </c>
      <c r="O86" s="111">
        <f t="shared" si="47"/>
        <v>76.427299999999974</v>
      </c>
      <c r="P86" s="110">
        <f>'Detailed Report'!AM82</f>
        <v>0</v>
      </c>
      <c r="Q86" s="110">
        <f>'Detailed Report'!AN82</f>
        <v>0</v>
      </c>
      <c r="R86" s="110">
        <f>'Detailed Report'!AU82/1.14</f>
        <v>23.67543859649123</v>
      </c>
      <c r="S86" s="110">
        <f>'Detailed Report'!AU82-'........... - Otlob'!R86</f>
        <v>3.3145614035087689</v>
      </c>
    </row>
    <row r="87" spans="1:19" ht="14.45" customHeight="1" x14ac:dyDescent="0.25">
      <c r="A87" s="105">
        <f>+IF(B87="","",SUBTOTAL(3,B$8:B87))</f>
        <v>80</v>
      </c>
      <c r="B87" s="106" t="str">
        <f>'Detailed Report'!O83</f>
        <v>Fuddruckers - New Maadi</v>
      </c>
      <c r="C87" s="107">
        <f>TRUNC('Detailed Report'!Q83,0)</f>
        <v>46025</v>
      </c>
      <c r="D87" s="108">
        <f>'Detailed Report'!P83</f>
        <v>3379515518</v>
      </c>
      <c r="E87" s="106" t="str">
        <f>'Detailed Report'!S83</f>
        <v>Successful</v>
      </c>
      <c r="F87" s="109">
        <f>IF(E87=$E$6,('Detailed Report'!Y83),IF(E87=$E$5,(0),0))</f>
        <v>2334.37</v>
      </c>
      <c r="G87" s="106">
        <f>IF(E87=$E$6,('Detailed Report'!AQ83),IF(E87=$E$5,('Detailed Report'!AW83),0))</f>
        <v>2047.69298</v>
      </c>
      <c r="H87" s="106">
        <f>'Detailed Report'!AS83</f>
        <v>511.92325</v>
      </c>
      <c r="I87" s="106">
        <f>'Detailed Report'!AT83</f>
        <v>71.669255000000007</v>
      </c>
      <c r="J87" s="106">
        <f>'Detailed Report'!AO83</f>
        <v>40.851476750000003</v>
      </c>
      <c r="K87" s="106">
        <f>'Detailed Report'!AP83</f>
        <v>5.7192067450000001</v>
      </c>
      <c r="L87" s="106">
        <f>'Detailed Report'!AU83/1.14</f>
        <v>0</v>
      </c>
      <c r="M87" s="106">
        <f>'Detailed Report'!AU83-L87</f>
        <v>0</v>
      </c>
      <c r="N87" s="110">
        <f>'Detailed Report'!AW83</f>
        <v>1704.2070000000001</v>
      </c>
      <c r="O87" s="111">
        <f t="shared" si="47"/>
        <v>343.48597999999993</v>
      </c>
      <c r="P87" s="110">
        <f>'Detailed Report'!AM83</f>
        <v>0</v>
      </c>
      <c r="Q87" s="110">
        <f>'Detailed Report'!AN83</f>
        <v>0</v>
      </c>
      <c r="R87" s="110">
        <f>'Detailed Report'!AU83/1.14</f>
        <v>0</v>
      </c>
      <c r="S87" s="110">
        <f>'Detailed Report'!AU83-'........... - Otlob'!R87</f>
        <v>0</v>
      </c>
    </row>
    <row r="88" spans="1:19" ht="15" customHeight="1" x14ac:dyDescent="0.25">
      <c r="A88" s="105">
        <f>+IF(B88="","",SUBTOTAL(3,B$8:B88))</f>
        <v>81</v>
      </c>
      <c r="B88" s="106" t="str">
        <f>'Detailed Report'!O84</f>
        <v>Fuddruckers - New Maadi</v>
      </c>
      <c r="C88" s="107">
        <f>TRUNC('Detailed Report'!Q84,0)</f>
        <v>46025</v>
      </c>
      <c r="D88" s="108">
        <f>'Detailed Report'!P84</f>
        <v>3379561101</v>
      </c>
      <c r="E88" s="106" t="str">
        <f>'Detailed Report'!S84</f>
        <v>Successful</v>
      </c>
      <c r="F88" s="109">
        <f>IF(E88=$E$6,('Detailed Report'!Y84),IF(E88=$E$5,(0),0))</f>
        <v>362.99</v>
      </c>
      <c r="G88" s="106">
        <f>IF(E88=$E$6,('Detailed Report'!AQ84),IF(E88=$E$5,('Detailed Report'!AW84),0))</f>
        <v>318.41228000000001</v>
      </c>
      <c r="H88" s="106">
        <f>'Detailed Report'!AS84</f>
        <v>79.603070000000002</v>
      </c>
      <c r="I88" s="106">
        <f>'Detailed Report'!AT84</f>
        <v>11.144429799999999</v>
      </c>
      <c r="J88" s="106">
        <f>'Detailed Report'!AO84</f>
        <v>6.3523250000000004</v>
      </c>
      <c r="K88" s="106">
        <f>'Detailed Report'!AP84</f>
        <v>0.88932549999999999</v>
      </c>
      <c r="L88" s="106">
        <f>'Detailed Report'!AU84/1.14</f>
        <v>24.55263157894737</v>
      </c>
      <c r="M88" s="106">
        <f>'Detailed Report'!AU84-L88</f>
        <v>3.4373684210526285</v>
      </c>
      <c r="N88" s="110">
        <f>'Detailed Report'!AW84</f>
        <v>237.011</v>
      </c>
      <c r="O88" s="111">
        <f t="shared" si="47"/>
        <v>81.401280000000014</v>
      </c>
      <c r="P88" s="110">
        <f>'Detailed Report'!AM84</f>
        <v>0</v>
      </c>
      <c r="Q88" s="110">
        <f>'Detailed Report'!AN84</f>
        <v>0</v>
      </c>
      <c r="R88" s="110">
        <f>'Detailed Report'!AU84/1.14</f>
        <v>24.55263157894737</v>
      </c>
      <c r="S88" s="110">
        <f>'Detailed Report'!AU84-'........... - Otlob'!R88</f>
        <v>3.4373684210526285</v>
      </c>
    </row>
    <row r="89" spans="1:19" ht="14.45" customHeight="1" x14ac:dyDescent="0.25">
      <c r="A89" s="105">
        <f>+IF(B89="","",SUBTOTAL(3,B$8:B89))</f>
        <v>82</v>
      </c>
      <c r="B89" s="106" t="str">
        <f>'Detailed Report'!O85</f>
        <v>Fuddruckers - New Maadi</v>
      </c>
      <c r="C89" s="107">
        <f>TRUNC('Detailed Report'!Q85,0)</f>
        <v>46025</v>
      </c>
      <c r="D89" s="108">
        <f>'Detailed Report'!P85</f>
        <v>3379578073</v>
      </c>
      <c r="E89" s="106" t="str">
        <f>'Detailed Report'!S85</f>
        <v>Successful</v>
      </c>
      <c r="F89" s="109">
        <f>IF(E89=$E$6,('Detailed Report'!Y85),IF(E89=$E$5,(0),0))</f>
        <v>471.95</v>
      </c>
      <c r="G89" s="106">
        <f>IF(E89=$E$6,('Detailed Report'!AQ85),IF(E89=$E$5,('Detailed Report'!AW85),0))</f>
        <v>413.99122999999997</v>
      </c>
      <c r="H89" s="106">
        <f>'Detailed Report'!AS85</f>
        <v>103.49781</v>
      </c>
      <c r="I89" s="106">
        <f>'Detailed Report'!AT85</f>
        <v>14.4896934</v>
      </c>
      <c r="J89" s="106">
        <f>'Detailed Report'!AO85</f>
        <v>8.2591249999999992</v>
      </c>
      <c r="K89" s="106">
        <f>'Detailed Report'!AP85</f>
        <v>1.1562775000000001</v>
      </c>
      <c r="L89" s="106">
        <f>'Detailed Report'!AU85/1.14</f>
        <v>25.42982456140351</v>
      </c>
      <c r="M89" s="106">
        <f>'Detailed Report'!AU85-L89</f>
        <v>3.5601754385964881</v>
      </c>
      <c r="N89" s="110">
        <f>'Detailed Report'!AW85</f>
        <v>315.55700000000002</v>
      </c>
      <c r="O89" s="111">
        <f t="shared" si="47"/>
        <v>98.434229999999957</v>
      </c>
      <c r="P89" s="110">
        <f>'Detailed Report'!AM85</f>
        <v>0</v>
      </c>
      <c r="Q89" s="110">
        <f>'Detailed Report'!AN85</f>
        <v>0</v>
      </c>
      <c r="R89" s="110">
        <f>'Detailed Report'!AU85/1.14</f>
        <v>25.42982456140351</v>
      </c>
      <c r="S89" s="110">
        <f>'Detailed Report'!AU85-'........... - Otlob'!R89</f>
        <v>3.5601754385964881</v>
      </c>
    </row>
    <row r="90" spans="1:19" ht="15" customHeight="1" x14ac:dyDescent="0.25">
      <c r="A90" s="105">
        <f>+IF(B90="","",SUBTOTAL(3,B$8:B90))</f>
        <v>83</v>
      </c>
      <c r="B90" s="106" t="str">
        <f>'Detailed Report'!O86</f>
        <v>Fuddruckers - Concord Plaza Mall</v>
      </c>
      <c r="C90" s="107">
        <f>TRUNC('Detailed Report'!Q86,0)</f>
        <v>46025</v>
      </c>
      <c r="D90" s="108">
        <f>'Detailed Report'!P86</f>
        <v>3379602560</v>
      </c>
      <c r="E90" s="106" t="str">
        <f>'Detailed Report'!S86</f>
        <v>Charged Cancelled</v>
      </c>
      <c r="F90" s="109">
        <f>IF(E90=$E$6,('Detailed Report'!Y86),IF(E90=$E$5,(0),0))</f>
        <v>0</v>
      </c>
      <c r="G90" s="106">
        <f>IF(E90=$E$6,('Detailed Report'!AQ86),IF(E90=$E$5,('Detailed Report'!AW86),0))</f>
        <v>-113.497</v>
      </c>
      <c r="H90" s="106">
        <f>'Detailed Report'!AS86</f>
        <v>99.559209999999993</v>
      </c>
      <c r="I90" s="106">
        <f>'Detailed Report'!AT86</f>
        <v>13.9382894</v>
      </c>
      <c r="J90" s="106">
        <f>'Detailed Report'!AO86</f>
        <v>0</v>
      </c>
      <c r="K90" s="106">
        <f>'Detailed Report'!AP86</f>
        <v>0</v>
      </c>
      <c r="L90" s="106">
        <f>'Detailed Report'!AU86/1.14</f>
        <v>0</v>
      </c>
      <c r="M90" s="106">
        <f>'Detailed Report'!AU86-L90</f>
        <v>0</v>
      </c>
      <c r="N90" s="110">
        <f>'Detailed Report'!AW86</f>
        <v>-113.497</v>
      </c>
      <c r="O90" s="111">
        <f t="shared" si="47"/>
        <v>0</v>
      </c>
      <c r="P90" s="110">
        <f>'Detailed Report'!AM86</f>
        <v>0</v>
      </c>
      <c r="Q90" s="110">
        <f>'Detailed Report'!AN86</f>
        <v>0</v>
      </c>
      <c r="R90" s="110">
        <f>'Detailed Report'!AU86/1.14</f>
        <v>0</v>
      </c>
      <c r="S90" s="110">
        <f>'Detailed Report'!AU86-'........... - Otlob'!R90</f>
        <v>0</v>
      </c>
    </row>
    <row r="91" spans="1:19" ht="14.45" customHeight="1" x14ac:dyDescent="0.25">
      <c r="A91" s="105">
        <f>+IF(B91="","",SUBTOTAL(3,B$8:B91))</f>
        <v>84</v>
      </c>
      <c r="B91" s="106" t="str">
        <f>'Detailed Report'!O87</f>
        <v>Fuddruckers - Concord Plaza Mall</v>
      </c>
      <c r="C91" s="107">
        <f>TRUNC('Detailed Report'!Q87,0)</f>
        <v>46025</v>
      </c>
      <c r="D91" s="108">
        <f>'Detailed Report'!P87</f>
        <v>3379608485</v>
      </c>
      <c r="E91" s="106" t="str">
        <f>'Detailed Report'!S87</f>
        <v>Successful</v>
      </c>
      <c r="F91" s="109">
        <f>IF(E91=$E$6,('Detailed Report'!Y87),IF(E91=$E$5,(0),0))</f>
        <v>967.97</v>
      </c>
      <c r="G91" s="106">
        <f>IF(E91=$E$6,('Detailed Report'!AQ87),IF(E91=$E$5,('Detailed Report'!AW87),0))</f>
        <v>849.09649000000002</v>
      </c>
      <c r="H91" s="106">
        <f>'Detailed Report'!AS87</f>
        <v>212.27412000000001</v>
      </c>
      <c r="I91" s="106">
        <f>'Detailed Report'!AT87</f>
        <v>29.718376800000001</v>
      </c>
      <c r="J91" s="106">
        <f>'Detailed Report'!AO87</f>
        <v>16.939475000000002</v>
      </c>
      <c r="K91" s="106">
        <f>'Detailed Report'!AP87</f>
        <v>2.3715264999999999</v>
      </c>
      <c r="L91" s="106">
        <f>'Detailed Report'!AU87/1.14</f>
        <v>30.692982456140356</v>
      </c>
      <c r="M91" s="106">
        <f>'Detailed Report'!AU87-L91</f>
        <v>4.2970175438596456</v>
      </c>
      <c r="N91" s="110">
        <f>'Detailed Report'!AW87</f>
        <v>671.67700000000002</v>
      </c>
      <c r="O91" s="111">
        <f t="shared" si="47"/>
        <v>177.41949</v>
      </c>
      <c r="P91" s="110">
        <f>'Detailed Report'!AM87</f>
        <v>0</v>
      </c>
      <c r="Q91" s="110">
        <f>'Detailed Report'!AN87</f>
        <v>0</v>
      </c>
      <c r="R91" s="110">
        <f>'Detailed Report'!AU87/1.14</f>
        <v>30.692982456140356</v>
      </c>
      <c r="S91" s="110">
        <f>'Detailed Report'!AU87-'........... - Otlob'!R91</f>
        <v>4.2970175438596456</v>
      </c>
    </row>
    <row r="92" spans="1:19" ht="14.45" customHeight="1" x14ac:dyDescent="0.25">
      <c r="A92" s="105">
        <f>+IF(B92="","",SUBTOTAL(3,B$8:B92))</f>
        <v>85</v>
      </c>
      <c r="B92" s="106" t="str">
        <f>'Detailed Report'!O88</f>
        <v>Fuddruckers - Concord Plaza Mall</v>
      </c>
      <c r="C92" s="107">
        <f>TRUNC('Detailed Report'!Q88,0)</f>
        <v>46025</v>
      </c>
      <c r="D92" s="108">
        <f>'Detailed Report'!P88</f>
        <v>3379759959</v>
      </c>
      <c r="E92" s="106" t="str">
        <f>'Detailed Report'!S88</f>
        <v>Successful</v>
      </c>
      <c r="F92" s="109">
        <f>IF(E92=$E$6,('Detailed Report'!Y88),IF(E92=$E$5,(0),0))</f>
        <v>726.65</v>
      </c>
      <c r="G92" s="106">
        <f>IF(E92=$E$6,('Detailed Report'!AQ88),IF(E92=$E$5,('Detailed Report'!AW88),0))</f>
        <v>637.41228000000001</v>
      </c>
      <c r="H92" s="106">
        <f>'Detailed Report'!AS88</f>
        <v>159.35307</v>
      </c>
      <c r="I92" s="106">
        <f>'Detailed Report'!AT88</f>
        <v>22.3094298</v>
      </c>
      <c r="J92" s="106">
        <f>'Detailed Report'!AO88</f>
        <v>0</v>
      </c>
      <c r="K92" s="106">
        <f>'Detailed Report'!AP88</f>
        <v>0</v>
      </c>
      <c r="L92" s="106">
        <f>'Detailed Report'!AU88/1.14</f>
        <v>32.447368421052637</v>
      </c>
      <c r="M92" s="106">
        <f>'Detailed Report'!AU88-L92</f>
        <v>4.5426315789473648</v>
      </c>
      <c r="N92" s="110">
        <f>'Detailed Report'!AW88</f>
        <v>507.99799999999999</v>
      </c>
      <c r="O92" s="111">
        <f t="shared" si="47"/>
        <v>129.41428000000002</v>
      </c>
      <c r="P92" s="110">
        <f>'Detailed Report'!AM88</f>
        <v>0</v>
      </c>
      <c r="Q92" s="110">
        <f>'Detailed Report'!AN88</f>
        <v>0</v>
      </c>
      <c r="R92" s="110">
        <f>'Detailed Report'!AU88/1.14</f>
        <v>32.447368421052637</v>
      </c>
      <c r="S92" s="110">
        <f>'Detailed Report'!AU88-'........... - Otlob'!R92</f>
        <v>4.5426315789473648</v>
      </c>
    </row>
    <row r="93" spans="1:19" ht="14.45" customHeight="1" x14ac:dyDescent="0.25">
      <c r="A93" s="105">
        <f>+IF(B93="","",SUBTOTAL(3,B$8:B93))</f>
        <v>86</v>
      </c>
      <c r="B93" s="106" t="str">
        <f>'Detailed Report'!O89</f>
        <v>Fuddruckers - New Maadi</v>
      </c>
      <c r="C93" s="107">
        <f>TRUNC('Detailed Report'!Q89,0)</f>
        <v>46025</v>
      </c>
      <c r="D93" s="108">
        <f>'Detailed Report'!P89</f>
        <v>3379787516</v>
      </c>
      <c r="E93" s="106" t="str">
        <f>'Detailed Report'!S89</f>
        <v>Successful</v>
      </c>
      <c r="F93" s="109">
        <f>IF(E93=$E$6,('Detailed Report'!Y89),IF(E93=$E$5,(0),0))</f>
        <v>259.99</v>
      </c>
      <c r="G93" s="106">
        <f>IF(E93=$E$6,('Detailed Report'!AQ89),IF(E93=$E$5,('Detailed Report'!AW89),0))</f>
        <v>228.06139999999999</v>
      </c>
      <c r="H93" s="106">
        <f>'Detailed Report'!AS89</f>
        <v>57.015349999999998</v>
      </c>
      <c r="I93" s="106">
        <f>'Detailed Report'!AT89</f>
        <v>7.9821489999999997</v>
      </c>
      <c r="J93" s="106">
        <f>'Detailed Report'!AO89</f>
        <v>4.5498250000000002</v>
      </c>
      <c r="K93" s="106">
        <f>'Detailed Report'!AP89</f>
        <v>0.63697550000000003</v>
      </c>
      <c r="L93" s="106">
        <f>'Detailed Report'!AU89/1.14</f>
        <v>23.67543859649123</v>
      </c>
      <c r="M93" s="106">
        <f>'Detailed Report'!AU89-L93</f>
        <v>3.3145614035087689</v>
      </c>
      <c r="N93" s="110">
        <f>'Detailed Report'!AW89</f>
        <v>162.816</v>
      </c>
      <c r="O93" s="111">
        <f t="shared" si="47"/>
        <v>65.245399999999989</v>
      </c>
      <c r="P93" s="110">
        <f>'Detailed Report'!AM89</f>
        <v>0</v>
      </c>
      <c r="Q93" s="110">
        <f>'Detailed Report'!AN89</f>
        <v>0</v>
      </c>
      <c r="R93" s="110">
        <f>'Detailed Report'!AU89/1.14</f>
        <v>23.67543859649123</v>
      </c>
      <c r="S93" s="110">
        <f>'Detailed Report'!AU89-'........... - Otlob'!R93</f>
        <v>3.3145614035087689</v>
      </c>
    </row>
    <row r="94" spans="1:19" ht="15" customHeight="1" x14ac:dyDescent="0.25">
      <c r="A94" s="105">
        <f>+IF(B94="","",SUBTOTAL(3,B$8:B94))</f>
        <v>87</v>
      </c>
      <c r="B94" s="106" t="str">
        <f>'Detailed Report'!O90</f>
        <v>Fuddruckers - Concord Plaza Mall</v>
      </c>
      <c r="C94" s="107">
        <f>TRUNC('Detailed Report'!Q90,0)</f>
        <v>46025</v>
      </c>
      <c r="D94" s="108">
        <f>'Detailed Report'!P90</f>
        <v>3379787591</v>
      </c>
      <c r="E94" s="106" t="str">
        <f>'Detailed Report'!S90</f>
        <v>Successful</v>
      </c>
      <c r="F94" s="109">
        <f>IF(E94=$E$6,('Detailed Report'!Y90),IF(E94=$E$5,(0),0))</f>
        <v>273.99</v>
      </c>
      <c r="G94" s="106">
        <f>IF(E94=$E$6,('Detailed Report'!AQ90),IF(E94=$E$5,('Detailed Report'!AW90),0))</f>
        <v>240.34210999999999</v>
      </c>
      <c r="H94" s="106">
        <f>'Detailed Report'!AS90</f>
        <v>60.085529999999999</v>
      </c>
      <c r="I94" s="106">
        <f>'Detailed Report'!AT90</f>
        <v>8.4119741999999995</v>
      </c>
      <c r="J94" s="106">
        <f>'Detailed Report'!AO90</f>
        <v>4.7948250000000003</v>
      </c>
      <c r="K94" s="106">
        <f>'Detailed Report'!AP90</f>
        <v>0.67127550000000002</v>
      </c>
      <c r="L94" s="106">
        <f>'Detailed Report'!AU90/1.14</f>
        <v>28.061403508771932</v>
      </c>
      <c r="M94" s="106">
        <f>'Detailed Report'!AU90-L94</f>
        <v>3.9285964912280669</v>
      </c>
      <c r="N94" s="110">
        <f>'Detailed Report'!AW90</f>
        <v>168.036</v>
      </c>
      <c r="O94" s="111">
        <f t="shared" si="47"/>
        <v>72.30610999999999</v>
      </c>
      <c r="P94" s="110">
        <f>'Detailed Report'!AM90</f>
        <v>0</v>
      </c>
      <c r="Q94" s="110">
        <f>'Detailed Report'!AN90</f>
        <v>0</v>
      </c>
      <c r="R94" s="110">
        <f>'Detailed Report'!AU90/1.14</f>
        <v>28.061403508771932</v>
      </c>
      <c r="S94" s="110">
        <f>'Detailed Report'!AU90-'........... - Otlob'!R94</f>
        <v>3.9285964912280669</v>
      </c>
    </row>
    <row r="95" spans="1:19" ht="14.45" customHeight="1" x14ac:dyDescent="0.25">
      <c r="A95" s="105">
        <f>+IF(B95="","",SUBTOTAL(3,B$8:B95))</f>
        <v>88</v>
      </c>
      <c r="B95" s="106" t="str">
        <f>'Detailed Report'!O91</f>
        <v>Fuddruckers - City Stars</v>
      </c>
      <c r="C95" s="107">
        <f>TRUNC('Detailed Report'!Q91,0)</f>
        <v>46025</v>
      </c>
      <c r="D95" s="108">
        <f>'Detailed Report'!P91</f>
        <v>3379819480</v>
      </c>
      <c r="E95" s="106" t="str">
        <f>'Detailed Report'!S91</f>
        <v>Successful</v>
      </c>
      <c r="F95" s="109">
        <f>IF(E95=$E$6,('Detailed Report'!Y91),IF(E95=$E$5,(0),0))</f>
        <v>702.97</v>
      </c>
      <c r="G95" s="106">
        <f>IF(E95=$E$6,('Detailed Report'!AQ91),IF(E95=$E$5,('Detailed Report'!AW91),0))</f>
        <v>616.64035000000001</v>
      </c>
      <c r="H95" s="106">
        <f>'Detailed Report'!AS91</f>
        <v>154.16009</v>
      </c>
      <c r="I95" s="106">
        <f>'Detailed Report'!AT91</f>
        <v>21.582412600000001</v>
      </c>
      <c r="J95" s="106">
        <f>'Detailed Report'!AO91</f>
        <v>12.301975000000001</v>
      </c>
      <c r="K95" s="106">
        <f>'Detailed Report'!AP91</f>
        <v>1.7222765</v>
      </c>
      <c r="L95" s="106">
        <f>'Detailed Report'!AU91/1.14</f>
        <v>0</v>
      </c>
      <c r="M95" s="106">
        <f>'Detailed Report'!AU91-L95</f>
        <v>0</v>
      </c>
      <c r="N95" s="110">
        <f>'Detailed Report'!AW91</f>
        <v>513.20299999999997</v>
      </c>
      <c r="O95" s="111">
        <f t="shared" si="47"/>
        <v>103.43735000000004</v>
      </c>
      <c r="P95" s="110">
        <f>'Detailed Report'!AM91</f>
        <v>0</v>
      </c>
      <c r="Q95" s="110">
        <f>'Detailed Report'!AN91</f>
        <v>0</v>
      </c>
      <c r="R95" s="110">
        <f>'Detailed Report'!AU91/1.14</f>
        <v>0</v>
      </c>
      <c r="S95" s="110">
        <f>'Detailed Report'!AU91-'........... - Otlob'!R95</f>
        <v>0</v>
      </c>
    </row>
    <row r="96" spans="1:19" ht="15" customHeight="1" x14ac:dyDescent="0.25">
      <c r="A96" s="105">
        <f>+IF(B96="","",SUBTOTAL(3,B$8:B96))</f>
        <v>89</v>
      </c>
      <c r="B96" s="106" t="str">
        <f>'Detailed Report'!O92</f>
        <v>Fuddruckers - New Maadi</v>
      </c>
      <c r="C96" s="107">
        <f>TRUNC('Detailed Report'!Q92,0)</f>
        <v>46025</v>
      </c>
      <c r="D96" s="108">
        <f>'Detailed Report'!P92</f>
        <v>3379833336</v>
      </c>
      <c r="E96" s="106" t="str">
        <f>'Detailed Report'!S92</f>
        <v>Successful</v>
      </c>
      <c r="F96" s="109">
        <f>IF(E96=$E$6,('Detailed Report'!Y92),IF(E96=$E$5,(0),0))</f>
        <v>657.69</v>
      </c>
      <c r="G96" s="106">
        <f>IF(E96=$E$6,('Detailed Report'!AQ92),IF(E96=$E$5,('Detailed Report'!AW92),0))</f>
        <v>576.92105000000004</v>
      </c>
      <c r="H96" s="106">
        <f>'Detailed Report'!AS92</f>
        <v>144.23025999999999</v>
      </c>
      <c r="I96" s="106">
        <f>'Detailed Report'!AT92</f>
        <v>20.192236399999999</v>
      </c>
      <c r="J96" s="106">
        <f>'Detailed Report'!AO92</f>
        <v>11.509575</v>
      </c>
      <c r="K96" s="106">
        <f>'Detailed Report'!AP92</f>
        <v>1.6113405000000001</v>
      </c>
      <c r="L96" s="106">
        <f>'Detailed Report'!AU92/1.14</f>
        <v>26.307017543859651</v>
      </c>
      <c r="M96" s="106">
        <f>'Detailed Report'!AU92-L96</f>
        <v>3.6829824561403477</v>
      </c>
      <c r="N96" s="110">
        <f>'Detailed Report'!AW92</f>
        <v>450.15699999999998</v>
      </c>
      <c r="O96" s="111">
        <f t="shared" si="47"/>
        <v>126.76405000000005</v>
      </c>
      <c r="P96" s="110">
        <f>'Detailed Report'!AM92</f>
        <v>0</v>
      </c>
      <c r="Q96" s="110">
        <f>'Detailed Report'!AN92</f>
        <v>0</v>
      </c>
      <c r="R96" s="110">
        <f>'Detailed Report'!AU92/1.14</f>
        <v>26.307017543859651</v>
      </c>
      <c r="S96" s="110">
        <f>'Detailed Report'!AU92-'........... - Otlob'!R96</f>
        <v>3.6829824561403477</v>
      </c>
    </row>
    <row r="97" spans="1:19" ht="14.45" customHeight="1" x14ac:dyDescent="0.25">
      <c r="A97" s="105">
        <f>+IF(B97="","",SUBTOTAL(3,B$8:B97))</f>
        <v>90</v>
      </c>
      <c r="B97" s="106" t="str">
        <f>'Detailed Report'!O93</f>
        <v>Fuddruckers - New Maadi</v>
      </c>
      <c r="C97" s="107">
        <f>TRUNC('Detailed Report'!Q93,0)</f>
        <v>46025</v>
      </c>
      <c r="D97" s="108">
        <f>'Detailed Report'!P93</f>
        <v>3379843875</v>
      </c>
      <c r="E97" s="106" t="str">
        <f>'Detailed Report'!S93</f>
        <v>Successful</v>
      </c>
      <c r="F97" s="109">
        <f>IF(E97=$E$6,('Detailed Report'!Y93),IF(E97=$E$5,(0),0))</f>
        <v>517.98</v>
      </c>
      <c r="G97" s="106">
        <f>IF(E97=$E$6,('Detailed Report'!AQ93),IF(E97=$E$5,('Detailed Report'!AW93),0))</f>
        <v>454.36842000000001</v>
      </c>
      <c r="H97" s="106">
        <f>'Detailed Report'!AS93</f>
        <v>113.59211000000001</v>
      </c>
      <c r="I97" s="106">
        <f>'Detailed Report'!AT93</f>
        <v>15.9028954</v>
      </c>
      <c r="J97" s="106">
        <f>'Detailed Report'!AO93</f>
        <v>9.0646500000000003</v>
      </c>
      <c r="K97" s="106">
        <f>'Detailed Report'!AP93</f>
        <v>1.2690509999999999</v>
      </c>
      <c r="L97" s="106">
        <f>'Detailed Report'!AU93/1.14</f>
        <v>26.307017543859651</v>
      </c>
      <c r="M97" s="106">
        <f>'Detailed Report'!AU93-L97</f>
        <v>3.6829824561403477</v>
      </c>
      <c r="N97" s="110">
        <f>'Detailed Report'!AW93</f>
        <v>348.161</v>
      </c>
      <c r="O97" s="111">
        <f t="shared" si="47"/>
        <v>106.20742000000001</v>
      </c>
      <c r="P97" s="110">
        <f>'Detailed Report'!AM93</f>
        <v>0</v>
      </c>
      <c r="Q97" s="110">
        <f>'Detailed Report'!AN93</f>
        <v>0</v>
      </c>
      <c r="R97" s="110">
        <f>'Detailed Report'!AU93/1.14</f>
        <v>26.307017543859651</v>
      </c>
      <c r="S97" s="110">
        <f>'Detailed Report'!AU93-'........... - Otlob'!R97</f>
        <v>3.6829824561403477</v>
      </c>
    </row>
    <row r="98" spans="1:19" ht="14.45" customHeight="1" x14ac:dyDescent="0.25">
      <c r="A98" s="105">
        <f>+IF(B98="","",SUBTOTAL(3,B$8:B98))</f>
        <v>91</v>
      </c>
      <c r="B98" s="106" t="str">
        <f>'Detailed Report'!O94</f>
        <v>Fuddruckers - Concord Plaza Mall</v>
      </c>
      <c r="C98" s="107">
        <f>TRUNC('Detailed Report'!Q94,0)</f>
        <v>46025</v>
      </c>
      <c r="D98" s="108">
        <f>'Detailed Report'!P94</f>
        <v>3379873975</v>
      </c>
      <c r="E98" s="106" t="str">
        <f>'Detailed Report'!S94</f>
        <v>Successful</v>
      </c>
      <c r="F98" s="109">
        <f>IF(E98=$E$6,('Detailed Report'!Y94),IF(E98=$E$5,(0),0))</f>
        <v>453.99</v>
      </c>
      <c r="G98" s="106">
        <f>IF(E98=$E$6,('Detailed Report'!AQ94),IF(E98=$E$5,('Detailed Report'!AW94),0))</f>
        <v>398.23683999999997</v>
      </c>
      <c r="H98" s="106">
        <f>'Detailed Report'!AS94</f>
        <v>99.559209999999993</v>
      </c>
      <c r="I98" s="106">
        <f>'Detailed Report'!AT94</f>
        <v>13.9382894</v>
      </c>
      <c r="J98" s="106">
        <f>'Detailed Report'!AO94</f>
        <v>7.9448249999999998</v>
      </c>
      <c r="K98" s="106">
        <f>'Detailed Report'!AP94</f>
        <v>1.1122755</v>
      </c>
      <c r="L98" s="106">
        <f>'Detailed Report'!AU94/1.14</f>
        <v>28.061403508771932</v>
      </c>
      <c r="M98" s="106">
        <f>'Detailed Report'!AU94-L98</f>
        <v>3.9285964912280669</v>
      </c>
      <c r="N98" s="110">
        <f>'Detailed Report'!AW94</f>
        <v>299.44499999999999</v>
      </c>
      <c r="O98" s="111">
        <f t="shared" si="47"/>
        <v>98.791839999999979</v>
      </c>
      <c r="P98" s="110">
        <f>'Detailed Report'!AM94</f>
        <v>0</v>
      </c>
      <c r="Q98" s="110">
        <f>'Detailed Report'!AN94</f>
        <v>0</v>
      </c>
      <c r="R98" s="110">
        <f>'Detailed Report'!AU94/1.14</f>
        <v>28.061403508771932</v>
      </c>
      <c r="S98" s="110">
        <f>'Detailed Report'!AU94-'........... - Otlob'!R98</f>
        <v>3.9285964912280669</v>
      </c>
    </row>
    <row r="99" spans="1:19" ht="15" customHeight="1" x14ac:dyDescent="0.25">
      <c r="A99" s="105">
        <f>+IF(B99="","",SUBTOTAL(3,B$8:B99))</f>
        <v>92</v>
      </c>
      <c r="B99" s="106" t="str">
        <f>'Detailed Report'!O95</f>
        <v>Fuddruckers - Concord Plaza Mall</v>
      </c>
      <c r="C99" s="107">
        <f>TRUNC('Detailed Report'!Q95,0)</f>
        <v>46025</v>
      </c>
      <c r="D99" s="108">
        <f>'Detailed Report'!P95</f>
        <v>3379922539</v>
      </c>
      <c r="E99" s="106" t="str">
        <f>'Detailed Report'!S95</f>
        <v>Successful</v>
      </c>
      <c r="F99" s="109">
        <f>IF(E99=$E$6,('Detailed Report'!Y95),IF(E99=$E$5,(0),0))</f>
        <v>392.99</v>
      </c>
      <c r="G99" s="106">
        <f>IF(E99=$E$6,('Detailed Report'!AQ95),IF(E99=$E$5,('Detailed Report'!AW95),0))</f>
        <v>344.72807</v>
      </c>
      <c r="H99" s="106">
        <f>'Detailed Report'!AS95</f>
        <v>86.182019999999994</v>
      </c>
      <c r="I99" s="106">
        <f>'Detailed Report'!AT95</f>
        <v>12.0654828</v>
      </c>
      <c r="J99" s="106">
        <f>'Detailed Report'!AO95</f>
        <v>6.8773249999999999</v>
      </c>
      <c r="K99" s="106">
        <f>'Detailed Report'!AP95</f>
        <v>0.9628255</v>
      </c>
      <c r="L99" s="106">
        <f>'Detailed Report'!AU95/1.14</f>
        <v>30.692982456140356</v>
      </c>
      <c r="M99" s="106">
        <f>'Detailed Report'!AU95-L99</f>
        <v>4.2970175438596456</v>
      </c>
      <c r="N99" s="110">
        <f>'Detailed Report'!AW95</f>
        <v>251.91200000000001</v>
      </c>
      <c r="O99" s="111">
        <f t="shared" si="47"/>
        <v>92.816069999999996</v>
      </c>
      <c r="P99" s="110">
        <f>'Detailed Report'!AM95</f>
        <v>0</v>
      </c>
      <c r="Q99" s="110">
        <f>'Detailed Report'!AN95</f>
        <v>0</v>
      </c>
      <c r="R99" s="110">
        <f>'Detailed Report'!AU95/1.14</f>
        <v>30.692982456140356</v>
      </c>
      <c r="S99" s="110">
        <f>'Detailed Report'!AU95-'........... - Otlob'!R99</f>
        <v>4.2970175438596456</v>
      </c>
    </row>
    <row r="100" spans="1:19" ht="14.45" customHeight="1" x14ac:dyDescent="0.25">
      <c r="A100" s="105">
        <f>+IF(B100="","",SUBTOTAL(3,B$8:B100))</f>
        <v>93</v>
      </c>
      <c r="B100" s="106" t="str">
        <f>'Detailed Report'!O96</f>
        <v>Fuddruckers - New Maadi</v>
      </c>
      <c r="C100" s="107">
        <f>TRUNC('Detailed Report'!Q96,0)</f>
        <v>46025</v>
      </c>
      <c r="D100" s="108">
        <f>'Detailed Report'!P96</f>
        <v>3379949081</v>
      </c>
      <c r="E100" s="106" t="str">
        <f>'Detailed Report'!S96</f>
        <v>Successful</v>
      </c>
      <c r="F100" s="109">
        <f>IF(E100=$E$6,('Detailed Report'!Y96),IF(E100=$E$5,(0),0))</f>
        <v>792.97</v>
      </c>
      <c r="G100" s="106">
        <f>IF(E100=$E$6,('Detailed Report'!AQ96),IF(E100=$E$5,('Detailed Report'!AW96),0))</f>
        <v>695.58771999999999</v>
      </c>
      <c r="H100" s="106">
        <f>'Detailed Report'!AS96</f>
        <v>173.89693</v>
      </c>
      <c r="I100" s="106">
        <f>'Detailed Report'!AT96</f>
        <v>24.345570200000001</v>
      </c>
      <c r="J100" s="106">
        <f>'Detailed Report'!AO96</f>
        <v>0</v>
      </c>
      <c r="K100" s="106">
        <f>'Detailed Report'!AP96</f>
        <v>0</v>
      </c>
      <c r="L100" s="106">
        <f>'Detailed Report'!AU96/1.14</f>
        <v>0</v>
      </c>
      <c r="M100" s="106">
        <f>'Detailed Report'!AU96-L100</f>
        <v>0</v>
      </c>
      <c r="N100" s="110">
        <f>'Detailed Report'!AW96</f>
        <v>594.72699999999998</v>
      </c>
      <c r="O100" s="111">
        <f t="shared" si="47"/>
        <v>100.86072000000001</v>
      </c>
      <c r="P100" s="110">
        <f>'Detailed Report'!AM96</f>
        <v>0</v>
      </c>
      <c r="Q100" s="110">
        <f>'Detailed Report'!AN96</f>
        <v>0</v>
      </c>
      <c r="R100" s="110">
        <f>'Detailed Report'!AU96/1.14</f>
        <v>0</v>
      </c>
      <c r="S100" s="110">
        <f>'Detailed Report'!AU96-'........... - Otlob'!R100</f>
        <v>0</v>
      </c>
    </row>
    <row r="101" spans="1:19" ht="14.45" customHeight="1" x14ac:dyDescent="0.25">
      <c r="A101" s="105">
        <f>+IF(B101="","",SUBTOTAL(3,B$8:B101))</f>
        <v>94</v>
      </c>
      <c r="B101" s="106" t="str">
        <f>'Detailed Report'!O97</f>
        <v>Fuddruckers - New Maadi</v>
      </c>
      <c r="C101" s="107">
        <f>TRUNC('Detailed Report'!Q97,0)</f>
        <v>46025</v>
      </c>
      <c r="D101" s="108">
        <f>'Detailed Report'!P97</f>
        <v>3380030238</v>
      </c>
      <c r="E101" s="106" t="str">
        <f>'Detailed Report'!S97</f>
        <v>Successful</v>
      </c>
      <c r="F101" s="109">
        <f>IF(E101=$E$6,('Detailed Report'!Y97),IF(E101=$E$5,(0),0))</f>
        <v>1513.94</v>
      </c>
      <c r="G101" s="106">
        <f>IF(E101=$E$6,('Detailed Report'!AQ97),IF(E101=$E$5,('Detailed Report'!AW97),0))</f>
        <v>1328.0175400000001</v>
      </c>
      <c r="H101" s="106">
        <f>'Detailed Report'!AS97</f>
        <v>332.00439</v>
      </c>
      <c r="I101" s="106">
        <f>'Detailed Report'!AT97</f>
        <v>46.480614600000003</v>
      </c>
      <c r="J101" s="106">
        <f>'Detailed Report'!AO97</f>
        <v>0</v>
      </c>
      <c r="K101" s="106">
        <f>'Detailed Report'!AP97</f>
        <v>0</v>
      </c>
      <c r="L101" s="106">
        <f>'Detailed Report'!AU97/1.14</f>
        <v>0</v>
      </c>
      <c r="M101" s="106">
        <f>'Detailed Report'!AU97-L101</f>
        <v>0</v>
      </c>
      <c r="N101" s="110">
        <f>'Detailed Report'!AW97</f>
        <v>1135.4549999999999</v>
      </c>
      <c r="O101" s="111">
        <f t="shared" si="47"/>
        <v>192.56254000000013</v>
      </c>
      <c r="P101" s="110">
        <f>'Detailed Report'!AM97</f>
        <v>0</v>
      </c>
      <c r="Q101" s="110">
        <f>'Detailed Report'!AN97</f>
        <v>0</v>
      </c>
      <c r="R101" s="110">
        <f>'Detailed Report'!AU97/1.14</f>
        <v>0</v>
      </c>
      <c r="S101" s="110">
        <f>'Detailed Report'!AU97-'........... - Otlob'!R101</f>
        <v>0</v>
      </c>
    </row>
    <row r="102" spans="1:19" ht="15" customHeight="1" x14ac:dyDescent="0.25">
      <c r="A102" s="105">
        <f>+IF(B102="","",SUBTOTAL(3,B$8:B102))</f>
        <v>95</v>
      </c>
      <c r="B102" s="106" t="str">
        <f>'Detailed Report'!O98</f>
        <v>Fuddruckers - Concord Plaza Mall</v>
      </c>
      <c r="C102" s="107">
        <f>TRUNC('Detailed Report'!Q98,0)</f>
        <v>46025</v>
      </c>
      <c r="D102" s="108">
        <f>'Detailed Report'!P98</f>
        <v>3380068339</v>
      </c>
      <c r="E102" s="106" t="str">
        <f>'Detailed Report'!S98</f>
        <v>Successful</v>
      </c>
      <c r="F102" s="109">
        <f>IF(E102=$E$6,('Detailed Report'!Y98),IF(E102=$E$5,(0),0))</f>
        <v>631.80999999999995</v>
      </c>
      <c r="G102" s="106">
        <f>IF(E102=$E$6,('Detailed Report'!AQ98),IF(E102=$E$5,('Detailed Report'!AW98),0))</f>
        <v>554.21929999999998</v>
      </c>
      <c r="H102" s="106">
        <f>'Detailed Report'!AS98</f>
        <v>138.55483000000001</v>
      </c>
      <c r="I102" s="106">
        <f>'Detailed Report'!AT98</f>
        <v>19.397676199999999</v>
      </c>
      <c r="J102" s="106">
        <f>'Detailed Report'!AO98</f>
        <v>11.056675</v>
      </c>
      <c r="K102" s="106">
        <f>'Detailed Report'!AP98</f>
        <v>1.5479345</v>
      </c>
      <c r="L102" s="106">
        <f>'Detailed Report'!AU98/1.14</f>
        <v>27.184210526315791</v>
      </c>
      <c r="M102" s="106">
        <f>'Detailed Report'!AU98-L102</f>
        <v>3.8057894736842073</v>
      </c>
      <c r="N102" s="110">
        <f>'Detailed Report'!AW98</f>
        <v>430.26299999999998</v>
      </c>
      <c r="O102" s="111">
        <f t="shared" si="47"/>
        <v>123.9563</v>
      </c>
      <c r="P102" s="110">
        <f>'Detailed Report'!AM98</f>
        <v>0</v>
      </c>
      <c r="Q102" s="110">
        <f>'Detailed Report'!AN98</f>
        <v>0</v>
      </c>
      <c r="R102" s="110">
        <f>'Detailed Report'!AU98/1.14</f>
        <v>27.184210526315791</v>
      </c>
      <c r="S102" s="110">
        <f>'Detailed Report'!AU98-'........... - Otlob'!R102</f>
        <v>3.8057894736842073</v>
      </c>
    </row>
    <row r="103" spans="1:19" ht="14.45" customHeight="1" x14ac:dyDescent="0.25">
      <c r="A103" s="105">
        <f>+IF(B103="","",SUBTOTAL(3,B$8:B103))</f>
        <v>96</v>
      </c>
      <c r="B103" s="106" t="str">
        <f>'Detailed Report'!O99</f>
        <v>Fuddruckers - Concord Plaza Mall</v>
      </c>
      <c r="C103" s="107">
        <f>TRUNC('Detailed Report'!Q99,0)</f>
        <v>46025</v>
      </c>
      <c r="D103" s="108">
        <f>'Detailed Report'!P99</f>
        <v>3380136621</v>
      </c>
      <c r="E103" s="106" t="str">
        <f>'Detailed Report'!S99</f>
        <v>Successful</v>
      </c>
      <c r="F103" s="109">
        <f>IF(E103=$E$6,('Detailed Report'!Y99),IF(E103=$E$5,(0),0))</f>
        <v>453.99</v>
      </c>
      <c r="G103" s="106">
        <f>IF(E103=$E$6,('Detailed Report'!AQ99),IF(E103=$E$5,('Detailed Report'!AW99),0))</f>
        <v>398.23683999999997</v>
      </c>
      <c r="H103" s="106">
        <f>'Detailed Report'!AS99</f>
        <v>99.559209999999993</v>
      </c>
      <c r="I103" s="106">
        <f>'Detailed Report'!AT99</f>
        <v>13.9382894</v>
      </c>
      <c r="J103" s="106">
        <f>'Detailed Report'!AO99</f>
        <v>7.9448249999999998</v>
      </c>
      <c r="K103" s="106">
        <f>'Detailed Report'!AP99</f>
        <v>1.1122755</v>
      </c>
      <c r="L103" s="106">
        <f>'Detailed Report'!AU99/1.14</f>
        <v>0</v>
      </c>
      <c r="M103" s="106">
        <f>'Detailed Report'!AU99-L103</f>
        <v>0</v>
      </c>
      <c r="N103" s="110">
        <f>'Detailed Report'!AW99</f>
        <v>331.435</v>
      </c>
      <c r="O103" s="111">
        <f t="shared" si="47"/>
        <v>66.80183999999997</v>
      </c>
      <c r="P103" s="110">
        <f>'Detailed Report'!AM99</f>
        <v>0</v>
      </c>
      <c r="Q103" s="110">
        <f>'Detailed Report'!AN99</f>
        <v>0</v>
      </c>
      <c r="R103" s="110">
        <f>'Detailed Report'!AU99/1.14</f>
        <v>0</v>
      </c>
      <c r="S103" s="110">
        <f>'Detailed Report'!AU99-'........... - Otlob'!R103</f>
        <v>0</v>
      </c>
    </row>
    <row r="104" spans="1:19" ht="15" customHeight="1" x14ac:dyDescent="0.25">
      <c r="A104" s="105">
        <f>+IF(B104="","",SUBTOTAL(3,B$8:B104))</f>
        <v>97</v>
      </c>
      <c r="B104" s="106" t="str">
        <f>'Detailed Report'!O100</f>
        <v>Fuddruckers - New Maadi</v>
      </c>
      <c r="C104" s="107">
        <f>TRUNC('Detailed Report'!Q100,0)</f>
        <v>46026</v>
      </c>
      <c r="D104" s="108">
        <f>'Detailed Report'!P100</f>
        <v>3380661028</v>
      </c>
      <c r="E104" s="106" t="str">
        <f>'Detailed Report'!S100</f>
        <v>Successful</v>
      </c>
      <c r="F104" s="109">
        <f>IF(E104=$E$6,('Detailed Report'!Y100),IF(E104=$E$5,(0),0))</f>
        <v>484.98</v>
      </c>
      <c r="G104" s="106">
        <f>IF(E104=$E$6,('Detailed Report'!AQ100),IF(E104=$E$5,('Detailed Report'!AW100),0))</f>
        <v>425.42104999999998</v>
      </c>
      <c r="H104" s="106">
        <f>'Detailed Report'!AS100</f>
        <v>106.35526</v>
      </c>
      <c r="I104" s="106">
        <f>'Detailed Report'!AT100</f>
        <v>14.8897364</v>
      </c>
      <c r="J104" s="106">
        <f>'Detailed Report'!AO100</f>
        <v>8.4871499999999997</v>
      </c>
      <c r="K104" s="106">
        <f>'Detailed Report'!AP100</f>
        <v>1.1882010000000001</v>
      </c>
      <c r="L104" s="106">
        <f>'Detailed Report'!AU100/1.14</f>
        <v>26.307017543859651</v>
      </c>
      <c r="M104" s="106">
        <f>'Detailed Report'!AU100-L104</f>
        <v>3.6829824561403477</v>
      </c>
      <c r="N104" s="110">
        <f>'Detailed Report'!AW100</f>
        <v>324.07</v>
      </c>
      <c r="O104" s="111">
        <f t="shared" si="47"/>
        <v>101.35104999999999</v>
      </c>
      <c r="P104" s="110">
        <f>'Detailed Report'!AM100</f>
        <v>0</v>
      </c>
      <c r="Q104" s="110">
        <f>'Detailed Report'!AN100</f>
        <v>0</v>
      </c>
      <c r="R104" s="110">
        <f>'Detailed Report'!AU100/1.14</f>
        <v>26.307017543859651</v>
      </c>
      <c r="S104" s="110">
        <f>'Detailed Report'!AU100-'........... - Otlob'!R104</f>
        <v>3.6829824561403477</v>
      </c>
    </row>
    <row r="105" spans="1:19" ht="14.45" customHeight="1" x14ac:dyDescent="0.25">
      <c r="A105" s="105">
        <f>+IF(B105="","",SUBTOTAL(3,B$8:B105))</f>
        <v>98</v>
      </c>
      <c r="B105" s="106" t="str">
        <f>'Detailed Report'!O101</f>
        <v>Fuddruckers - New Maadi</v>
      </c>
      <c r="C105" s="107">
        <f>TRUNC('Detailed Report'!Q101,0)</f>
        <v>46026</v>
      </c>
      <c r="D105" s="108">
        <f>'Detailed Report'!P101</f>
        <v>3380707618</v>
      </c>
      <c r="E105" s="106" t="str">
        <f>'Detailed Report'!S101</f>
        <v>Successful</v>
      </c>
      <c r="F105" s="109">
        <f>IF(E105=$E$6,('Detailed Report'!Y101),IF(E105=$E$5,(0),0))</f>
        <v>1109.96</v>
      </c>
      <c r="G105" s="106">
        <f>IF(E105=$E$6,('Detailed Report'!AQ101),IF(E105=$E$5,('Detailed Report'!AW101),0))</f>
        <v>973.64912000000004</v>
      </c>
      <c r="H105" s="106">
        <f>'Detailed Report'!AS101</f>
        <v>243.41228000000001</v>
      </c>
      <c r="I105" s="106">
        <f>'Detailed Report'!AT101</f>
        <v>34.077719199999997</v>
      </c>
      <c r="J105" s="106">
        <f>'Detailed Report'!AO101</f>
        <v>19.42429825</v>
      </c>
      <c r="K105" s="106">
        <f>'Detailed Report'!AP101</f>
        <v>2.7194017549999998</v>
      </c>
      <c r="L105" s="106">
        <f>'Detailed Report'!AU101/1.14</f>
        <v>0</v>
      </c>
      <c r="M105" s="106">
        <f>'Detailed Report'!AU101-L105</f>
        <v>0</v>
      </c>
      <c r="N105" s="110">
        <f>'Detailed Report'!AW101</f>
        <v>810.32600000000002</v>
      </c>
      <c r="O105" s="111">
        <f t="shared" si="47"/>
        <v>163.32312000000002</v>
      </c>
      <c r="P105" s="110">
        <f>'Detailed Report'!AM101</f>
        <v>0</v>
      </c>
      <c r="Q105" s="110">
        <f>'Detailed Report'!AN101</f>
        <v>0</v>
      </c>
      <c r="R105" s="110">
        <f>'Detailed Report'!AU101/1.14</f>
        <v>0</v>
      </c>
      <c r="S105" s="110">
        <f>'Detailed Report'!AU101-'........... - Otlob'!R105</f>
        <v>0</v>
      </c>
    </row>
    <row r="106" spans="1:19" ht="15" customHeight="1" x14ac:dyDescent="0.25">
      <c r="A106" s="105">
        <f>+IF(B106="","",SUBTOTAL(3,B$8:B106))</f>
        <v>99</v>
      </c>
      <c r="B106" s="106" t="str">
        <f>'Detailed Report'!O102</f>
        <v>Fuddruckers - New Maadi</v>
      </c>
      <c r="C106" s="107">
        <f>TRUNC('Detailed Report'!Q102,0)</f>
        <v>46026</v>
      </c>
      <c r="D106" s="108">
        <f>'Detailed Report'!P102</f>
        <v>3380715117</v>
      </c>
      <c r="E106" s="106" t="str">
        <f>'Detailed Report'!S102</f>
        <v>Successful</v>
      </c>
      <c r="F106" s="109">
        <f>IF(E106=$E$6,('Detailed Report'!Y102),IF(E106=$E$5,(0),0))</f>
        <v>224.99</v>
      </c>
      <c r="G106" s="106">
        <f>IF(E106=$E$6,('Detailed Report'!AQ102),IF(E106=$E$5,('Detailed Report'!AW102),0))</f>
        <v>197.35964999999999</v>
      </c>
      <c r="H106" s="106">
        <f>'Detailed Report'!AS102</f>
        <v>49.339910000000003</v>
      </c>
      <c r="I106" s="106">
        <f>'Detailed Report'!AT102</f>
        <v>6.9075873999999997</v>
      </c>
      <c r="J106" s="106">
        <f>'Detailed Report'!AO102</f>
        <v>3.937325</v>
      </c>
      <c r="K106" s="106">
        <f>'Detailed Report'!AP102</f>
        <v>0.55122550000000003</v>
      </c>
      <c r="L106" s="106">
        <f>'Detailed Report'!AU102/1.14</f>
        <v>27.184210526315791</v>
      </c>
      <c r="M106" s="106">
        <f>'Detailed Report'!AU102-L106</f>
        <v>3.8057894736842073</v>
      </c>
      <c r="N106" s="110">
        <f>'Detailed Report'!AW102</f>
        <v>133.26400000000001</v>
      </c>
      <c r="O106" s="111">
        <f t="shared" si="47"/>
        <v>64.095649999999978</v>
      </c>
      <c r="P106" s="110">
        <f>'Detailed Report'!AM102</f>
        <v>0</v>
      </c>
      <c r="Q106" s="110">
        <f>'Detailed Report'!AN102</f>
        <v>0</v>
      </c>
      <c r="R106" s="110">
        <f>'Detailed Report'!AU102/1.14</f>
        <v>27.184210526315791</v>
      </c>
      <c r="S106" s="110">
        <f>'Detailed Report'!AU102-'........... - Otlob'!R106</f>
        <v>3.8057894736842073</v>
      </c>
    </row>
    <row r="107" spans="1:19" ht="14.45" customHeight="1" x14ac:dyDescent="0.25">
      <c r="A107" s="105">
        <f>+IF(B107="","",SUBTOTAL(3,B$8:B107))</f>
        <v>100</v>
      </c>
      <c r="B107" s="106" t="str">
        <f>'Detailed Report'!O103</f>
        <v>Fuddruckers - Concord Plaza Mall</v>
      </c>
      <c r="C107" s="107">
        <f>TRUNC('Detailed Report'!Q103,0)</f>
        <v>46026</v>
      </c>
      <c r="D107" s="108">
        <f>'Detailed Report'!P103</f>
        <v>3380840447</v>
      </c>
      <c r="E107" s="106" t="str">
        <f>'Detailed Report'!S103</f>
        <v>Successful</v>
      </c>
      <c r="F107" s="109">
        <f>IF(E107=$E$6,('Detailed Report'!Y103),IF(E107=$E$5,(0),0))</f>
        <v>781.67</v>
      </c>
      <c r="G107" s="106">
        <f>IF(E107=$E$6,('Detailed Report'!AQ103),IF(E107=$E$5,('Detailed Report'!AW103),0))</f>
        <v>685.67543999999998</v>
      </c>
      <c r="H107" s="106">
        <f>'Detailed Report'!AS103</f>
        <v>171.41886</v>
      </c>
      <c r="I107" s="106">
        <f>'Detailed Report'!AT103</f>
        <v>23.998640399999999</v>
      </c>
      <c r="J107" s="106">
        <f>'Detailed Report'!AO103</f>
        <v>13.679225000000001</v>
      </c>
      <c r="K107" s="106">
        <f>'Detailed Report'!AP103</f>
        <v>1.9150914999999999</v>
      </c>
      <c r="L107" s="106">
        <f>'Detailed Report'!AU103/1.14</f>
        <v>0</v>
      </c>
      <c r="M107" s="106">
        <f>'Detailed Report'!AU103-L107</f>
        <v>0</v>
      </c>
      <c r="N107" s="110">
        <f>'Detailed Report'!AW103</f>
        <v>570.65800000000002</v>
      </c>
      <c r="O107" s="111">
        <f t="shared" si="47"/>
        <v>115.01743999999997</v>
      </c>
      <c r="P107" s="110">
        <f>'Detailed Report'!AM103</f>
        <v>0</v>
      </c>
      <c r="Q107" s="110">
        <f>'Detailed Report'!AN103</f>
        <v>0</v>
      </c>
      <c r="R107" s="110">
        <f>'Detailed Report'!AU103/1.14</f>
        <v>0</v>
      </c>
      <c r="S107" s="110">
        <f>'Detailed Report'!AU103-'........... - Otlob'!R107</f>
        <v>0</v>
      </c>
    </row>
    <row r="108" spans="1:19" ht="14.45" customHeight="1" x14ac:dyDescent="0.25">
      <c r="A108" s="105">
        <f>+IF(B108="","",SUBTOTAL(3,B$8:B108))</f>
        <v>101</v>
      </c>
      <c r="B108" s="106" t="str">
        <f>'Detailed Report'!O104</f>
        <v>Fuddruckers - Concord Plaza Mall</v>
      </c>
      <c r="C108" s="107">
        <f>TRUNC('Detailed Report'!Q104,0)</f>
        <v>46026</v>
      </c>
      <c r="D108" s="108">
        <f>'Detailed Report'!P104</f>
        <v>3380845178</v>
      </c>
      <c r="E108" s="106" t="str">
        <f>'Detailed Report'!S104</f>
        <v>Successful</v>
      </c>
      <c r="F108" s="109">
        <f>IF(E108=$E$6,('Detailed Report'!Y104),IF(E108=$E$5,(0),0))</f>
        <v>1008.97</v>
      </c>
      <c r="G108" s="106">
        <f>IF(E108=$E$6,('Detailed Report'!AQ104),IF(E108=$E$5,('Detailed Report'!AW104),0))</f>
        <v>885.06140000000005</v>
      </c>
      <c r="H108" s="106">
        <f>'Detailed Report'!AS104</f>
        <v>221.26535000000001</v>
      </c>
      <c r="I108" s="106">
        <f>'Detailed Report'!AT104</f>
        <v>30.977149000000001</v>
      </c>
      <c r="J108" s="106">
        <f>'Detailed Report'!AO104</f>
        <v>17.656974999999999</v>
      </c>
      <c r="K108" s="106">
        <f>'Detailed Report'!AP104</f>
        <v>2.4719764999999998</v>
      </c>
      <c r="L108" s="106">
        <f>'Detailed Report'!AU104/1.14</f>
        <v>31.570175438596497</v>
      </c>
      <c r="M108" s="106">
        <f>'Detailed Report'!AU104-L108</f>
        <v>4.4198245614035052</v>
      </c>
      <c r="N108" s="110">
        <f>'Detailed Report'!AW104</f>
        <v>700.60900000000004</v>
      </c>
      <c r="O108" s="111">
        <f t="shared" si="47"/>
        <v>184.45240000000001</v>
      </c>
      <c r="P108" s="110">
        <f>'Detailed Report'!AM104</f>
        <v>0</v>
      </c>
      <c r="Q108" s="110">
        <f>'Detailed Report'!AN104</f>
        <v>0</v>
      </c>
      <c r="R108" s="110">
        <f>'Detailed Report'!AU104/1.14</f>
        <v>31.570175438596497</v>
      </c>
      <c r="S108" s="110">
        <f>'Detailed Report'!AU104-'........... - Otlob'!R108</f>
        <v>4.4198245614035052</v>
      </c>
    </row>
    <row r="109" spans="1:19" ht="14.45" customHeight="1" x14ac:dyDescent="0.25">
      <c r="A109" s="105">
        <f>+IF(B109="","",SUBTOTAL(3,B$8:B109))</f>
        <v>102</v>
      </c>
      <c r="B109" s="106" t="str">
        <f>'Detailed Report'!O105</f>
        <v>Fuddruckers - Concord Plaza Mall</v>
      </c>
      <c r="C109" s="107">
        <f>TRUNC('Detailed Report'!Q105,0)</f>
        <v>46026</v>
      </c>
      <c r="D109" s="108">
        <f>'Detailed Report'!P105</f>
        <v>3380896312</v>
      </c>
      <c r="E109" s="106" t="str">
        <f>'Detailed Report'!S105</f>
        <v>Successful</v>
      </c>
      <c r="F109" s="109">
        <f>IF(E109=$E$6,('Detailed Report'!Y105),IF(E109=$E$5,(0),0))</f>
        <v>403.67</v>
      </c>
      <c r="G109" s="106">
        <f>IF(E109=$E$6,('Detailed Report'!AQ105),IF(E109=$E$5,('Detailed Report'!AW105),0))</f>
        <v>354.09649000000002</v>
      </c>
      <c r="H109" s="106">
        <f>'Detailed Report'!AS105</f>
        <v>88.524119999999996</v>
      </c>
      <c r="I109" s="106">
        <f>'Detailed Report'!AT105</f>
        <v>12.3933768</v>
      </c>
      <c r="J109" s="106">
        <f>'Detailed Report'!AO105</f>
        <v>7.0642250000000004</v>
      </c>
      <c r="K109" s="106">
        <f>'Detailed Report'!AP105</f>
        <v>0.98899150000000002</v>
      </c>
      <c r="L109" s="106">
        <f>'Detailed Report'!AU105/1.14</f>
        <v>28.061403508771932</v>
      </c>
      <c r="M109" s="106">
        <f>'Detailed Report'!AU105-L109</f>
        <v>3.9285964912280669</v>
      </c>
      <c r="N109" s="110">
        <f>'Detailed Report'!AW105</f>
        <v>262.709</v>
      </c>
      <c r="O109" s="111">
        <f t="shared" si="47"/>
        <v>91.387490000000014</v>
      </c>
      <c r="P109" s="110">
        <f>'Detailed Report'!AM105</f>
        <v>0</v>
      </c>
      <c r="Q109" s="110">
        <f>'Detailed Report'!AN105</f>
        <v>0</v>
      </c>
      <c r="R109" s="110">
        <f>'Detailed Report'!AU105/1.14</f>
        <v>28.061403508771932</v>
      </c>
      <c r="S109" s="110">
        <f>'Detailed Report'!AU105-'........... - Otlob'!R109</f>
        <v>3.9285964912280669</v>
      </c>
    </row>
    <row r="110" spans="1:19" ht="14.45" customHeight="1" x14ac:dyDescent="0.25">
      <c r="A110" s="105">
        <f>+IF(B110="","",SUBTOTAL(3,B$8:B110))</f>
        <v>103</v>
      </c>
      <c r="B110" s="106" t="str">
        <f>'Detailed Report'!O106</f>
        <v>Fuddruckers - Concord Plaza Mall</v>
      </c>
      <c r="C110" s="107">
        <f>TRUNC('Detailed Report'!Q106,0)</f>
        <v>46026</v>
      </c>
      <c r="D110" s="108">
        <f>'Detailed Report'!P106</f>
        <v>3380909857</v>
      </c>
      <c r="E110" s="106" t="str">
        <f>'Detailed Report'!S106</f>
        <v>Successful</v>
      </c>
      <c r="F110" s="109">
        <f>IF(E110=$E$6,('Detailed Report'!Y106),IF(E110=$E$5,(0),0))</f>
        <v>936.97</v>
      </c>
      <c r="G110" s="106">
        <f>IF(E110=$E$6,('Detailed Report'!AQ106),IF(E110=$E$5,('Detailed Report'!AW106),0))</f>
        <v>821.90350999999998</v>
      </c>
      <c r="H110" s="106">
        <f>'Detailed Report'!AS106</f>
        <v>205.47587999999999</v>
      </c>
      <c r="I110" s="106">
        <f>'Detailed Report'!AT106</f>
        <v>28.766623200000002</v>
      </c>
      <c r="J110" s="106">
        <f>'Detailed Report'!AO106</f>
        <v>16.396975000000001</v>
      </c>
      <c r="K110" s="106">
        <f>'Detailed Report'!AP106</f>
        <v>2.2955765000000001</v>
      </c>
      <c r="L110" s="106">
        <f>'Detailed Report'!AU106/1.14</f>
        <v>0</v>
      </c>
      <c r="M110" s="106">
        <f>'Detailed Report'!AU106-L110</f>
        <v>0</v>
      </c>
      <c r="N110" s="110">
        <f>'Detailed Report'!AW106</f>
        <v>684.03499999999997</v>
      </c>
      <c r="O110" s="111">
        <f t="shared" si="47"/>
        <v>137.86851000000001</v>
      </c>
      <c r="P110" s="110">
        <f>'Detailed Report'!AM106</f>
        <v>0</v>
      </c>
      <c r="Q110" s="110">
        <f>'Detailed Report'!AN106</f>
        <v>0</v>
      </c>
      <c r="R110" s="110">
        <f>'Detailed Report'!AU106/1.14</f>
        <v>0</v>
      </c>
      <c r="S110" s="110">
        <f>'Detailed Report'!AU106-'........... - Otlob'!R110</f>
        <v>0</v>
      </c>
    </row>
    <row r="111" spans="1:19" ht="14.45" customHeight="1" x14ac:dyDescent="0.25">
      <c r="A111" s="105">
        <f>+IF(B111="","",SUBTOTAL(3,B$8:B111))</f>
        <v>104</v>
      </c>
      <c r="B111" s="106" t="str">
        <f>'Detailed Report'!O107</f>
        <v>Fuddruckers - New Maadi</v>
      </c>
      <c r="C111" s="107">
        <f>TRUNC('Detailed Report'!Q107,0)</f>
        <v>46026</v>
      </c>
      <c r="D111" s="108">
        <f>'Detailed Report'!P107</f>
        <v>3380963063</v>
      </c>
      <c r="E111" s="106" t="str">
        <f>'Detailed Report'!S107</f>
        <v>Successful</v>
      </c>
      <c r="F111" s="109">
        <f>IF(E111=$E$6,('Detailed Report'!Y107),IF(E111=$E$5,(0),0))</f>
        <v>517.98</v>
      </c>
      <c r="G111" s="106">
        <f>IF(E111=$E$6,('Detailed Report'!AQ107),IF(E111=$E$5,('Detailed Report'!AW107),0))</f>
        <v>454.36842000000001</v>
      </c>
      <c r="H111" s="106">
        <f>'Detailed Report'!AS107</f>
        <v>113.59211000000001</v>
      </c>
      <c r="I111" s="106">
        <f>'Detailed Report'!AT107</f>
        <v>15.9028954</v>
      </c>
      <c r="J111" s="106">
        <f>'Detailed Report'!AO107</f>
        <v>9.0646500000000003</v>
      </c>
      <c r="K111" s="106">
        <f>'Detailed Report'!AP107</f>
        <v>1.2690509999999999</v>
      </c>
      <c r="L111" s="106">
        <f>'Detailed Report'!AU107/1.14</f>
        <v>26.307017543859651</v>
      </c>
      <c r="M111" s="106">
        <f>'Detailed Report'!AU107-L111</f>
        <v>3.6829824561403477</v>
      </c>
      <c r="N111" s="110">
        <f>'Detailed Report'!AW107</f>
        <v>348.161</v>
      </c>
      <c r="O111" s="111">
        <f t="shared" si="47"/>
        <v>106.20742000000001</v>
      </c>
      <c r="P111" s="110">
        <f>'Detailed Report'!AM107</f>
        <v>0</v>
      </c>
      <c r="Q111" s="110">
        <f>'Detailed Report'!AN107</f>
        <v>0</v>
      </c>
      <c r="R111" s="110">
        <f>'Detailed Report'!AU107/1.14</f>
        <v>26.307017543859651</v>
      </c>
      <c r="S111" s="110">
        <f>'Detailed Report'!AU107-'........... - Otlob'!R111</f>
        <v>3.6829824561403477</v>
      </c>
    </row>
    <row r="112" spans="1:19" ht="14.45" customHeight="1" x14ac:dyDescent="0.25">
      <c r="A112" s="105">
        <f>+IF(B112="","",SUBTOTAL(3,B$8:B112))</f>
        <v>105</v>
      </c>
      <c r="B112" s="106" t="str">
        <f>'Detailed Report'!O108</f>
        <v>Fuddruckers - New Maadi</v>
      </c>
      <c r="C112" s="107">
        <f>TRUNC('Detailed Report'!Q108,0)</f>
        <v>46026</v>
      </c>
      <c r="D112" s="108">
        <f>'Detailed Report'!P108</f>
        <v>3380982867</v>
      </c>
      <c r="E112" s="106" t="str">
        <f>'Detailed Report'!S108</f>
        <v>Successful</v>
      </c>
      <c r="F112" s="109">
        <f>IF(E112=$E$6,('Detailed Report'!Y108),IF(E112=$E$5,(0),0))</f>
        <v>239.99</v>
      </c>
      <c r="G112" s="106">
        <f>IF(E112=$E$6,('Detailed Report'!AQ108),IF(E112=$E$5,('Detailed Report'!AW108),0))</f>
        <v>210.51754</v>
      </c>
      <c r="H112" s="106">
        <f>'Detailed Report'!AS108</f>
        <v>52.629390000000001</v>
      </c>
      <c r="I112" s="106">
        <f>'Detailed Report'!AT108</f>
        <v>7.3681146000000002</v>
      </c>
      <c r="J112" s="106">
        <f>'Detailed Report'!AO108</f>
        <v>4.1998249999999997</v>
      </c>
      <c r="K112" s="106">
        <f>'Detailed Report'!AP108</f>
        <v>0.58797549999999998</v>
      </c>
      <c r="L112" s="106">
        <f>'Detailed Report'!AU108/1.14</f>
        <v>25.42982456140351</v>
      </c>
      <c r="M112" s="106">
        <f>'Detailed Report'!AU108-L112</f>
        <v>3.5601754385964881</v>
      </c>
      <c r="N112" s="110">
        <f>'Detailed Report'!AW108</f>
        <v>146.215</v>
      </c>
      <c r="O112" s="111">
        <f t="shared" si="47"/>
        <v>64.302539999999993</v>
      </c>
      <c r="P112" s="110">
        <f>'Detailed Report'!AM108</f>
        <v>0</v>
      </c>
      <c r="Q112" s="110">
        <f>'Detailed Report'!AN108</f>
        <v>0</v>
      </c>
      <c r="R112" s="110">
        <f>'Detailed Report'!AU108/1.14</f>
        <v>25.42982456140351</v>
      </c>
      <c r="S112" s="110">
        <f>'Detailed Report'!AU108-'........... - Otlob'!R112</f>
        <v>3.5601754385964881</v>
      </c>
    </row>
    <row r="113" spans="1:19" ht="14.45" customHeight="1" x14ac:dyDescent="0.25">
      <c r="A113" s="105">
        <f>+IF(B113="","",SUBTOTAL(3,B$8:B113))</f>
        <v>106</v>
      </c>
      <c r="B113" s="106" t="str">
        <f>'Detailed Report'!O109</f>
        <v>Fuddruckers - Concord Plaza Mall</v>
      </c>
      <c r="C113" s="107">
        <f>TRUNC('Detailed Report'!Q109,0)</f>
        <v>46026</v>
      </c>
      <c r="D113" s="108">
        <f>'Detailed Report'!P109</f>
        <v>3381060898</v>
      </c>
      <c r="E113" s="106" t="str">
        <f>'Detailed Report'!S109</f>
        <v>Successful</v>
      </c>
      <c r="F113" s="109">
        <f>IF(E113=$E$6,('Detailed Report'!Y109),IF(E113=$E$5,(0),0))</f>
        <v>764.98</v>
      </c>
      <c r="G113" s="106">
        <f>IF(E113=$E$6,('Detailed Report'!AQ109),IF(E113=$E$5,('Detailed Report'!AW109),0))</f>
        <v>671.03508999999997</v>
      </c>
      <c r="H113" s="106">
        <f>'Detailed Report'!AS109</f>
        <v>167.75877</v>
      </c>
      <c r="I113" s="106">
        <f>'Detailed Report'!AT109</f>
        <v>23.486227800000002</v>
      </c>
      <c r="J113" s="106">
        <f>'Detailed Report'!AO109</f>
        <v>0</v>
      </c>
      <c r="K113" s="106">
        <f>'Detailed Report'!AP109</f>
        <v>0</v>
      </c>
      <c r="L113" s="106">
        <f>'Detailed Report'!AU109/1.14</f>
        <v>0</v>
      </c>
      <c r="M113" s="106">
        <f>'Detailed Report'!AU109-L113</f>
        <v>0</v>
      </c>
      <c r="N113" s="110">
        <f>'Detailed Report'!AW109</f>
        <v>573.73500000000001</v>
      </c>
      <c r="O113" s="111">
        <f t="shared" si="47"/>
        <v>97.300089999999955</v>
      </c>
      <c r="P113" s="110">
        <f>'Detailed Report'!AM109</f>
        <v>0</v>
      </c>
      <c r="Q113" s="110">
        <f>'Detailed Report'!AN109</f>
        <v>0</v>
      </c>
      <c r="R113" s="110">
        <f>'Detailed Report'!AU109/1.14</f>
        <v>0</v>
      </c>
      <c r="S113" s="110">
        <f>'Detailed Report'!AU109-'........... - Otlob'!R113</f>
        <v>0</v>
      </c>
    </row>
    <row r="114" spans="1:19" ht="14.45" customHeight="1" x14ac:dyDescent="0.25">
      <c r="A114" s="105">
        <f>+IF(B114="","",SUBTOTAL(3,B$8:B114))</f>
        <v>107</v>
      </c>
      <c r="B114" s="106" t="str">
        <f>'Detailed Report'!O110</f>
        <v>Fuddruckers - New Maadi</v>
      </c>
      <c r="C114" s="107">
        <f>TRUNC('Detailed Report'!Q110,0)</f>
        <v>46026</v>
      </c>
      <c r="D114" s="108">
        <f>'Detailed Report'!P110</f>
        <v>3381089528</v>
      </c>
      <c r="E114" s="106" t="str">
        <f>'Detailed Report'!S110</f>
        <v>Successful</v>
      </c>
      <c r="F114" s="109">
        <f>IF(E114=$E$6,('Detailed Report'!Y110),IF(E114=$E$5,(0),0))</f>
        <v>301.82</v>
      </c>
      <c r="G114" s="106">
        <f>IF(E114=$E$6,('Detailed Report'!AQ110),IF(E114=$E$5,('Detailed Report'!AW110),0))</f>
        <v>264.75439</v>
      </c>
      <c r="H114" s="106">
        <f>'Detailed Report'!AS110</f>
        <v>66.188599999999994</v>
      </c>
      <c r="I114" s="106">
        <f>'Detailed Report'!AT110</f>
        <v>9.2664039999999996</v>
      </c>
      <c r="J114" s="106">
        <f>'Detailed Report'!AO110</f>
        <v>0</v>
      </c>
      <c r="K114" s="106">
        <f>'Detailed Report'!AP110</f>
        <v>0</v>
      </c>
      <c r="L114" s="106">
        <f>'Detailed Report'!AU110/1.14</f>
        <v>0</v>
      </c>
      <c r="M114" s="106">
        <f>'Detailed Report'!AU110-L114</f>
        <v>0</v>
      </c>
      <c r="N114" s="110">
        <f>'Detailed Report'!AW110</f>
        <v>226.36500000000001</v>
      </c>
      <c r="O114" s="111">
        <f t="shared" si="47"/>
        <v>38.389389999999992</v>
      </c>
      <c r="P114" s="110">
        <f>'Detailed Report'!AM110</f>
        <v>0</v>
      </c>
      <c r="Q114" s="110">
        <f>'Detailed Report'!AN110</f>
        <v>0</v>
      </c>
      <c r="R114" s="110">
        <f>'Detailed Report'!AU110/1.14</f>
        <v>0</v>
      </c>
      <c r="S114" s="110">
        <f>'Detailed Report'!AU110-'........... - Otlob'!R114</f>
        <v>0</v>
      </c>
    </row>
    <row r="115" spans="1:19" ht="14.45" customHeight="1" x14ac:dyDescent="0.25">
      <c r="A115" s="105">
        <f>+IF(B115="","",SUBTOTAL(3,B$8:B115))</f>
        <v>108</v>
      </c>
      <c r="B115" s="106" t="str">
        <f>'Detailed Report'!O111</f>
        <v>Fuddruckers - Concord Plaza Mall</v>
      </c>
      <c r="C115" s="107">
        <f>TRUNC('Detailed Report'!Q111,0)</f>
        <v>46026</v>
      </c>
      <c r="D115" s="108">
        <f>'Detailed Report'!P111</f>
        <v>3381094426</v>
      </c>
      <c r="E115" s="106" t="str">
        <f>'Detailed Report'!S111</f>
        <v>Successful</v>
      </c>
      <c r="F115" s="109">
        <f>IF(E115=$E$6,('Detailed Report'!Y111),IF(E115=$E$5,(0),0))</f>
        <v>673.98</v>
      </c>
      <c r="G115" s="106">
        <f>IF(E115=$E$6,('Detailed Report'!AQ111),IF(E115=$E$5,('Detailed Report'!AW111),0))</f>
        <v>591.21052999999995</v>
      </c>
      <c r="H115" s="106">
        <f>'Detailed Report'!AS111</f>
        <v>147.80262999999999</v>
      </c>
      <c r="I115" s="106">
        <f>'Detailed Report'!AT111</f>
        <v>20.692368200000001</v>
      </c>
      <c r="J115" s="106">
        <f>'Detailed Report'!AO111</f>
        <v>11.794650000000001</v>
      </c>
      <c r="K115" s="106">
        <f>'Detailed Report'!AP111</f>
        <v>1.651251</v>
      </c>
      <c r="L115" s="106">
        <f>'Detailed Report'!AU111/1.14</f>
        <v>28.938596491228076</v>
      </c>
      <c r="M115" s="106">
        <f>'Detailed Report'!AU111-L115</f>
        <v>4.0514035087719265</v>
      </c>
      <c r="N115" s="110">
        <f>'Detailed Report'!AW111</f>
        <v>459.04899999999998</v>
      </c>
      <c r="O115" s="111">
        <f t="shared" si="47"/>
        <v>132.16152999999997</v>
      </c>
      <c r="P115" s="110">
        <f>'Detailed Report'!AM111</f>
        <v>0</v>
      </c>
      <c r="Q115" s="110">
        <f>'Detailed Report'!AN111</f>
        <v>0</v>
      </c>
      <c r="R115" s="110">
        <f>'Detailed Report'!AU111/1.14</f>
        <v>28.938596491228076</v>
      </c>
      <c r="S115" s="110">
        <f>'Detailed Report'!AU111-'........... - Otlob'!R115</f>
        <v>4.0514035087719265</v>
      </c>
    </row>
    <row r="116" spans="1:19" ht="14.45" customHeight="1" x14ac:dyDescent="0.25">
      <c r="A116" s="105">
        <f>+IF(B116="","",SUBTOTAL(3,B$8:B116))</f>
        <v>109</v>
      </c>
      <c r="B116" s="106" t="str">
        <f>'Detailed Report'!O112</f>
        <v>Fuddruckers - Concord Plaza Mall</v>
      </c>
      <c r="C116" s="107">
        <f>TRUNC('Detailed Report'!Q112,0)</f>
        <v>46026</v>
      </c>
      <c r="D116" s="108">
        <f>'Detailed Report'!P112</f>
        <v>3381098297</v>
      </c>
      <c r="E116" s="106" t="str">
        <f>'Detailed Report'!S112</f>
        <v>Successful</v>
      </c>
      <c r="F116" s="109">
        <f>IF(E116=$E$6,('Detailed Report'!Y112),IF(E116=$E$5,(0),0))</f>
        <v>821.3</v>
      </c>
      <c r="G116" s="106">
        <f>IF(E116=$E$6,('Detailed Report'!AQ112),IF(E116=$E$5,('Detailed Report'!AW112),0))</f>
        <v>720.43859999999995</v>
      </c>
      <c r="H116" s="106">
        <f>'Detailed Report'!AS112</f>
        <v>180.10964999999999</v>
      </c>
      <c r="I116" s="106">
        <f>'Detailed Report'!AT112</f>
        <v>25.215350999999998</v>
      </c>
      <c r="J116" s="106">
        <f>'Detailed Report'!AO112</f>
        <v>0</v>
      </c>
      <c r="K116" s="106">
        <f>'Detailed Report'!AP112</f>
        <v>0</v>
      </c>
      <c r="L116" s="106">
        <f>'Detailed Report'!AU112/1.14</f>
        <v>30.692982456140356</v>
      </c>
      <c r="M116" s="106">
        <f>'Detailed Report'!AU112-L116</f>
        <v>4.2970175438596456</v>
      </c>
      <c r="N116" s="110">
        <f>'Detailed Report'!AW112</f>
        <v>580.98500000000001</v>
      </c>
      <c r="O116" s="111">
        <f t="shared" si="47"/>
        <v>139.45359999999994</v>
      </c>
      <c r="P116" s="110">
        <f>'Detailed Report'!AM112</f>
        <v>0</v>
      </c>
      <c r="Q116" s="110">
        <f>'Detailed Report'!AN112</f>
        <v>0</v>
      </c>
      <c r="R116" s="110">
        <f>'Detailed Report'!AU112/1.14</f>
        <v>30.692982456140356</v>
      </c>
      <c r="S116" s="110">
        <f>'Detailed Report'!AU112-'........... - Otlob'!R116</f>
        <v>4.2970175438596456</v>
      </c>
    </row>
    <row r="117" spans="1:19" ht="14.45" customHeight="1" x14ac:dyDescent="0.25">
      <c r="A117" s="105">
        <f>+IF(B117="","",SUBTOTAL(3,B$8:B117))</f>
        <v>110</v>
      </c>
      <c r="B117" s="106" t="str">
        <f>'Detailed Report'!O113</f>
        <v>Fuddruckers - New Maadi</v>
      </c>
      <c r="C117" s="107">
        <f>TRUNC('Detailed Report'!Q113,0)</f>
        <v>46026</v>
      </c>
      <c r="D117" s="108">
        <f>'Detailed Report'!P113</f>
        <v>3381110705</v>
      </c>
      <c r="E117" s="106" t="str">
        <f>'Detailed Report'!S113</f>
        <v>Successful</v>
      </c>
      <c r="F117" s="109">
        <f>IF(E117=$E$6,('Detailed Report'!Y113),IF(E117=$E$5,(0),0))</f>
        <v>239.99</v>
      </c>
      <c r="G117" s="106">
        <f>IF(E117=$E$6,('Detailed Report'!AQ113),IF(E117=$E$5,('Detailed Report'!AW113),0))</f>
        <v>210.51754</v>
      </c>
      <c r="H117" s="106">
        <f>'Detailed Report'!AS113</f>
        <v>52.629390000000001</v>
      </c>
      <c r="I117" s="106">
        <f>'Detailed Report'!AT113</f>
        <v>7.3681146000000002</v>
      </c>
      <c r="J117" s="106">
        <f>'Detailed Report'!AO113</f>
        <v>4.1998249999999997</v>
      </c>
      <c r="K117" s="106">
        <f>'Detailed Report'!AP113</f>
        <v>0.58797549999999998</v>
      </c>
      <c r="L117" s="106">
        <f>'Detailed Report'!AU113/1.14</f>
        <v>24.55263157894737</v>
      </c>
      <c r="M117" s="106">
        <f>'Detailed Report'!AU113-L117</f>
        <v>3.4373684210526285</v>
      </c>
      <c r="N117" s="110">
        <f>'Detailed Report'!AW113</f>
        <v>147.215</v>
      </c>
      <c r="O117" s="111">
        <f t="shared" si="47"/>
        <v>63.302539999999993</v>
      </c>
      <c r="P117" s="110">
        <f>'Detailed Report'!AM113</f>
        <v>0</v>
      </c>
      <c r="Q117" s="110">
        <f>'Detailed Report'!AN113</f>
        <v>0</v>
      </c>
      <c r="R117" s="110">
        <f>'Detailed Report'!AU113/1.14</f>
        <v>24.55263157894737</v>
      </c>
      <c r="S117" s="110">
        <f>'Detailed Report'!AU113-'........... - Otlob'!R117</f>
        <v>3.4373684210526285</v>
      </c>
    </row>
    <row r="118" spans="1:19" ht="14.45" customHeight="1" x14ac:dyDescent="0.25">
      <c r="A118" s="105">
        <f>+IF(B118="","",SUBTOTAL(3,B$8:B118))</f>
        <v>111</v>
      </c>
      <c r="B118" s="106" t="str">
        <f>'Detailed Report'!O114</f>
        <v>Fuddruckers - Concord Plaza Mall</v>
      </c>
      <c r="C118" s="107">
        <f>TRUNC('Detailed Report'!Q114,0)</f>
        <v>46026</v>
      </c>
      <c r="D118" s="108">
        <f>'Detailed Report'!P114</f>
        <v>3381176678</v>
      </c>
      <c r="E118" s="106" t="str">
        <f>'Detailed Report'!S114</f>
        <v>Successful</v>
      </c>
      <c r="F118" s="109">
        <f>IF(E118=$E$6,('Detailed Report'!Y114),IF(E118=$E$5,(0),0))</f>
        <v>224.99</v>
      </c>
      <c r="G118" s="106">
        <f>IF(E118=$E$6,('Detailed Report'!AQ114),IF(E118=$E$5,('Detailed Report'!AW114),0))</f>
        <v>197.35964999999999</v>
      </c>
      <c r="H118" s="106">
        <f>'Detailed Report'!AS114</f>
        <v>49.339910000000003</v>
      </c>
      <c r="I118" s="106">
        <f>'Detailed Report'!AT114</f>
        <v>6.9075873999999997</v>
      </c>
      <c r="J118" s="106">
        <f>'Detailed Report'!AO114</f>
        <v>3.937325</v>
      </c>
      <c r="K118" s="106">
        <f>'Detailed Report'!AP114</f>
        <v>0.55122550000000003</v>
      </c>
      <c r="L118" s="106">
        <f>'Detailed Report'!AU114/1.14</f>
        <v>0</v>
      </c>
      <c r="M118" s="106">
        <f>'Detailed Report'!AU114-L118</f>
        <v>0</v>
      </c>
      <c r="N118" s="110">
        <f>'Detailed Report'!AW114</f>
        <v>164.25399999999999</v>
      </c>
      <c r="O118" s="111">
        <f t="shared" si="47"/>
        <v>33.105649999999997</v>
      </c>
      <c r="P118" s="110">
        <f>'Detailed Report'!AM114</f>
        <v>0</v>
      </c>
      <c r="Q118" s="110">
        <f>'Detailed Report'!AN114</f>
        <v>0</v>
      </c>
      <c r="R118" s="110">
        <f>'Detailed Report'!AU114/1.14</f>
        <v>0</v>
      </c>
      <c r="S118" s="110">
        <f>'Detailed Report'!AU114-'........... - Otlob'!R118</f>
        <v>0</v>
      </c>
    </row>
    <row r="119" spans="1:19" ht="14.45" customHeight="1" x14ac:dyDescent="0.25">
      <c r="A119" s="105">
        <f>+IF(B119="","",SUBTOTAL(3,B$8:B119))</f>
        <v>112</v>
      </c>
      <c r="B119" s="106" t="str">
        <f>'Detailed Report'!O115</f>
        <v>Fuddruckers - New Maadi</v>
      </c>
      <c r="C119" s="107">
        <f>TRUNC('Detailed Report'!Q115,0)</f>
        <v>46026</v>
      </c>
      <c r="D119" s="108">
        <f>'Detailed Report'!P115</f>
        <v>3381198359</v>
      </c>
      <c r="E119" s="106" t="str">
        <f>'Detailed Report'!S115</f>
        <v>Successful</v>
      </c>
      <c r="F119" s="109">
        <f>IF(E119=$E$6,('Detailed Report'!Y115),IF(E119=$E$5,(0),0))</f>
        <v>571.98</v>
      </c>
      <c r="G119" s="106">
        <f>IF(E119=$E$6,('Detailed Report'!AQ115),IF(E119=$E$5,('Detailed Report'!AW115),0))</f>
        <v>501.73683999999997</v>
      </c>
      <c r="H119" s="106">
        <f>'Detailed Report'!AS115</f>
        <v>125.43420999999999</v>
      </c>
      <c r="I119" s="106">
        <f>'Detailed Report'!AT115</f>
        <v>17.560789400000001</v>
      </c>
      <c r="J119" s="106">
        <f>'Detailed Report'!AO115</f>
        <v>10.009650000000001</v>
      </c>
      <c r="K119" s="106">
        <f>'Detailed Report'!AP115</f>
        <v>1.401351</v>
      </c>
      <c r="L119" s="106">
        <f>'Detailed Report'!AU115/1.14</f>
        <v>26.307017543859651</v>
      </c>
      <c r="M119" s="106">
        <f>'Detailed Report'!AU115-L119</f>
        <v>3.6829824561403477</v>
      </c>
      <c r="N119" s="110">
        <f>'Detailed Report'!AW115</f>
        <v>387.584</v>
      </c>
      <c r="O119" s="111">
        <f t="shared" si="47"/>
        <v>114.15283999999997</v>
      </c>
      <c r="P119" s="110">
        <f>'Detailed Report'!AM115</f>
        <v>0</v>
      </c>
      <c r="Q119" s="110">
        <f>'Detailed Report'!AN115</f>
        <v>0</v>
      </c>
      <c r="R119" s="110">
        <f>'Detailed Report'!AU115/1.14</f>
        <v>26.307017543859651</v>
      </c>
      <c r="S119" s="110">
        <f>'Detailed Report'!AU115-'........... - Otlob'!R119</f>
        <v>3.6829824561403477</v>
      </c>
    </row>
    <row r="120" spans="1:19" ht="14.45" customHeight="1" x14ac:dyDescent="0.25">
      <c r="A120" s="105">
        <f>+IF(B120="","",SUBTOTAL(3,B$8:B120))</f>
        <v>113</v>
      </c>
      <c r="B120" s="106" t="str">
        <f>'Detailed Report'!O116</f>
        <v>Fuddruckers - New Maadi</v>
      </c>
      <c r="C120" s="107">
        <f>TRUNC('Detailed Report'!Q116,0)</f>
        <v>46026</v>
      </c>
      <c r="D120" s="108">
        <f>'Detailed Report'!P116</f>
        <v>3381210710</v>
      </c>
      <c r="E120" s="106" t="str">
        <f>'Detailed Report'!S116</f>
        <v>Successful</v>
      </c>
      <c r="F120" s="109">
        <f>IF(E120=$E$6,('Detailed Report'!Y116),IF(E120=$E$5,(0),0))</f>
        <v>526.98</v>
      </c>
      <c r="G120" s="106">
        <f>IF(E120=$E$6,('Detailed Report'!AQ116),IF(E120=$E$5,('Detailed Report'!AW116),0))</f>
        <v>462.26316000000003</v>
      </c>
      <c r="H120" s="106">
        <f>'Detailed Report'!AS116</f>
        <v>115.56579000000001</v>
      </c>
      <c r="I120" s="106">
        <f>'Detailed Report'!AT116</f>
        <v>16.179210600000001</v>
      </c>
      <c r="J120" s="106">
        <f>'Detailed Report'!AO116</f>
        <v>0</v>
      </c>
      <c r="K120" s="106">
        <f>'Detailed Report'!AP116</f>
        <v>0</v>
      </c>
      <c r="L120" s="106">
        <f>'Detailed Report'!AU116/1.14</f>
        <v>24.55263157894737</v>
      </c>
      <c r="M120" s="106">
        <f>'Detailed Report'!AU116-L120</f>
        <v>3.4373684210526285</v>
      </c>
      <c r="N120" s="110">
        <f>'Detailed Report'!AW116</f>
        <v>367.245</v>
      </c>
      <c r="O120" s="111">
        <f t="shared" si="47"/>
        <v>95.018160000000023</v>
      </c>
      <c r="P120" s="110">
        <f>'Detailed Report'!AM116</f>
        <v>0</v>
      </c>
      <c r="Q120" s="110">
        <f>'Detailed Report'!AN116</f>
        <v>0</v>
      </c>
      <c r="R120" s="110">
        <f>'Detailed Report'!AU116/1.14</f>
        <v>24.55263157894737</v>
      </c>
      <c r="S120" s="110">
        <f>'Detailed Report'!AU116-'........... - Otlob'!R120</f>
        <v>3.4373684210526285</v>
      </c>
    </row>
    <row r="121" spans="1:19" ht="14.45" customHeight="1" x14ac:dyDescent="0.25">
      <c r="A121" s="105">
        <f>+IF(B121="","",SUBTOTAL(3,B$8:B121))</f>
        <v>114</v>
      </c>
      <c r="B121" s="106" t="str">
        <f>'Detailed Report'!O117</f>
        <v>Fuddruckers - Concord Plaza Mall</v>
      </c>
      <c r="C121" s="107">
        <f>TRUNC('Detailed Report'!Q117,0)</f>
        <v>46026</v>
      </c>
      <c r="D121" s="108">
        <f>'Detailed Report'!P117</f>
        <v>3381303763</v>
      </c>
      <c r="E121" s="106" t="str">
        <f>'Detailed Report'!S117</f>
        <v>Successful</v>
      </c>
      <c r="F121" s="109">
        <f>IF(E121=$E$6,('Detailed Report'!Y117),IF(E121=$E$5,(0),0))</f>
        <v>767.99</v>
      </c>
      <c r="G121" s="106">
        <f>IF(E121=$E$6,('Detailed Report'!AQ117),IF(E121=$E$5,('Detailed Report'!AW117),0))</f>
        <v>673.67543999999998</v>
      </c>
      <c r="H121" s="106">
        <f>'Detailed Report'!AS117</f>
        <v>168.41886</v>
      </c>
      <c r="I121" s="106">
        <f>'Detailed Report'!AT117</f>
        <v>23.578640400000001</v>
      </c>
      <c r="J121" s="106">
        <f>'Detailed Report'!AO117</f>
        <v>13.439825000000001</v>
      </c>
      <c r="K121" s="106">
        <f>'Detailed Report'!AP117</f>
        <v>1.8815755000000001</v>
      </c>
      <c r="L121" s="106">
        <f>'Detailed Report'!AU117/1.14</f>
        <v>29.815789473684216</v>
      </c>
      <c r="M121" s="106">
        <f>'Detailed Report'!AU117-L121</f>
        <v>4.174210526315786</v>
      </c>
      <c r="N121" s="110">
        <f>'Detailed Report'!AW117</f>
        <v>526.68100000000004</v>
      </c>
      <c r="O121" s="111">
        <f t="shared" si="47"/>
        <v>146.99443999999994</v>
      </c>
      <c r="P121" s="110">
        <f>'Detailed Report'!AM117</f>
        <v>0</v>
      </c>
      <c r="Q121" s="110">
        <f>'Detailed Report'!AN117</f>
        <v>0</v>
      </c>
      <c r="R121" s="110">
        <f>'Detailed Report'!AU117/1.14</f>
        <v>29.815789473684216</v>
      </c>
      <c r="S121" s="110">
        <f>'Detailed Report'!AU117-'........... - Otlob'!R121</f>
        <v>4.174210526315786</v>
      </c>
    </row>
    <row r="122" spans="1:19" ht="14.45" customHeight="1" x14ac:dyDescent="0.25">
      <c r="A122" s="105">
        <f>+IF(B122="","",SUBTOTAL(3,B$8:B122))</f>
        <v>115</v>
      </c>
      <c r="B122" s="106" t="str">
        <f>'Detailed Report'!O118</f>
        <v>Fuddruckers - Concord Plaza Mall</v>
      </c>
      <c r="C122" s="107">
        <f>TRUNC('Detailed Report'!Q118,0)</f>
        <v>46026</v>
      </c>
      <c r="D122" s="108">
        <f>'Detailed Report'!P118</f>
        <v>3381309661</v>
      </c>
      <c r="E122" s="106" t="str">
        <f>'Detailed Report'!S118</f>
        <v>Successful</v>
      </c>
      <c r="F122" s="109">
        <f>IF(E122=$E$6,('Detailed Report'!Y118),IF(E122=$E$5,(0),0))</f>
        <v>209.99</v>
      </c>
      <c r="G122" s="106">
        <f>IF(E122=$E$6,('Detailed Report'!AQ118),IF(E122=$E$5,('Detailed Report'!AW118),0))</f>
        <v>184.20175</v>
      </c>
      <c r="H122" s="106">
        <f>'Detailed Report'!AS118</f>
        <v>46.050440000000002</v>
      </c>
      <c r="I122" s="106">
        <f>'Detailed Report'!AT118</f>
        <v>6.4470615999999996</v>
      </c>
      <c r="J122" s="106">
        <f>'Detailed Report'!AO118</f>
        <v>3.6748249999999998</v>
      </c>
      <c r="K122" s="106">
        <f>'Detailed Report'!AP118</f>
        <v>0.51447549999999997</v>
      </c>
      <c r="L122" s="106">
        <f>'Detailed Report'!AU118/1.14</f>
        <v>28.938596491228076</v>
      </c>
      <c r="M122" s="106">
        <f>'Detailed Report'!AU118-L122</f>
        <v>4.0514035087719265</v>
      </c>
      <c r="N122" s="110">
        <f>'Detailed Report'!AW118</f>
        <v>120.313</v>
      </c>
      <c r="O122" s="111">
        <f t="shared" si="47"/>
        <v>63.888750000000002</v>
      </c>
      <c r="P122" s="110">
        <f>'Detailed Report'!AM118</f>
        <v>0</v>
      </c>
      <c r="Q122" s="110">
        <f>'Detailed Report'!AN118</f>
        <v>0</v>
      </c>
      <c r="R122" s="110">
        <f>'Detailed Report'!AU118/1.14</f>
        <v>28.938596491228076</v>
      </c>
      <c r="S122" s="110">
        <f>'Detailed Report'!AU118-'........... - Otlob'!R122</f>
        <v>4.0514035087719265</v>
      </c>
    </row>
    <row r="123" spans="1:19" ht="14.45" customHeight="1" x14ac:dyDescent="0.25">
      <c r="A123" s="105">
        <f>+IF(B123="","",SUBTOTAL(3,B$8:B123))</f>
        <v>116</v>
      </c>
      <c r="B123" s="106" t="str">
        <f>'Detailed Report'!O119</f>
        <v>Fuddruckers - Concord Plaza Mall</v>
      </c>
      <c r="C123" s="107">
        <f>TRUNC('Detailed Report'!Q119,0)</f>
        <v>46026</v>
      </c>
      <c r="D123" s="108">
        <f>'Detailed Report'!P119</f>
        <v>3381312088</v>
      </c>
      <c r="E123" s="106" t="str">
        <f>'Detailed Report'!S119</f>
        <v>Successful</v>
      </c>
      <c r="F123" s="109">
        <f>IF(E123=$E$6,('Detailed Report'!Y119),IF(E123=$E$5,(0),0))</f>
        <v>899.98</v>
      </c>
      <c r="G123" s="106">
        <f>IF(E123=$E$6,('Detailed Report'!AQ119),IF(E123=$E$5,('Detailed Report'!AW119),0))</f>
        <v>789.45614</v>
      </c>
      <c r="H123" s="106">
        <f>'Detailed Report'!AS119</f>
        <v>197.36403999999999</v>
      </c>
      <c r="I123" s="106">
        <f>'Detailed Report'!AT119</f>
        <v>27.6309656</v>
      </c>
      <c r="J123" s="106">
        <f>'Detailed Report'!AO119</f>
        <v>15.749650000000001</v>
      </c>
      <c r="K123" s="106">
        <f>'Detailed Report'!AP119</f>
        <v>2.2049509999999999</v>
      </c>
      <c r="L123" s="106">
        <f>'Detailed Report'!AU119/1.14</f>
        <v>27.184210526315791</v>
      </c>
      <c r="M123" s="106">
        <f>'Detailed Report'!AU119-L123</f>
        <v>3.8057894736842073</v>
      </c>
      <c r="N123" s="110">
        <f>'Detailed Report'!AW119</f>
        <v>626.04</v>
      </c>
      <c r="O123" s="111">
        <f t="shared" si="47"/>
        <v>163.41614000000004</v>
      </c>
      <c r="P123" s="110">
        <f>'Detailed Report'!AM119</f>
        <v>0</v>
      </c>
      <c r="Q123" s="110">
        <f>'Detailed Report'!AN119</f>
        <v>0</v>
      </c>
      <c r="R123" s="110">
        <f>'Detailed Report'!AU119/1.14</f>
        <v>27.184210526315791</v>
      </c>
      <c r="S123" s="110">
        <f>'Detailed Report'!AU119-'........... - Otlob'!R123</f>
        <v>3.8057894736842073</v>
      </c>
    </row>
    <row r="124" spans="1:19" ht="14.45" customHeight="1" x14ac:dyDescent="0.25">
      <c r="A124" s="105">
        <f>+IF(B124="","",SUBTOTAL(3,B$8:B124))</f>
        <v>117</v>
      </c>
      <c r="B124" s="106" t="str">
        <f>'Detailed Report'!O120</f>
        <v>Fuddruckers - New Maadi</v>
      </c>
      <c r="C124" s="107">
        <f>TRUNC('Detailed Report'!Q120,0)</f>
        <v>46026</v>
      </c>
      <c r="D124" s="108">
        <f>'Detailed Report'!P120</f>
        <v>3381326392</v>
      </c>
      <c r="E124" s="106" t="str">
        <f>'Detailed Report'!S120</f>
        <v>Successful</v>
      </c>
      <c r="F124" s="109">
        <f>IF(E124=$E$6,('Detailed Report'!Y120),IF(E124=$E$5,(0),0))</f>
        <v>445.99</v>
      </c>
      <c r="G124" s="106">
        <f>IF(E124=$E$6,('Detailed Report'!AQ120),IF(E124=$E$5,('Detailed Report'!AW120),0))</f>
        <v>391.21929999999998</v>
      </c>
      <c r="H124" s="106">
        <f>'Detailed Report'!AS120</f>
        <v>97.804829999999995</v>
      </c>
      <c r="I124" s="106">
        <f>'Detailed Report'!AT120</f>
        <v>13.692676199999999</v>
      </c>
      <c r="J124" s="106">
        <f>'Detailed Report'!AO120</f>
        <v>7.8048250000000001</v>
      </c>
      <c r="K124" s="106">
        <f>'Detailed Report'!AP120</f>
        <v>1.0926754999999999</v>
      </c>
      <c r="L124" s="106">
        <f>'Detailed Report'!AU120/1.14</f>
        <v>0</v>
      </c>
      <c r="M124" s="106">
        <f>'Detailed Report'!AU120-L124</f>
        <v>0</v>
      </c>
      <c r="N124" s="110">
        <f>'Detailed Report'!AW120</f>
        <v>325.59500000000003</v>
      </c>
      <c r="O124" s="111">
        <f t="shared" si="47"/>
        <v>65.624299999999948</v>
      </c>
      <c r="P124" s="110">
        <f>'Detailed Report'!AM120</f>
        <v>0</v>
      </c>
      <c r="Q124" s="110">
        <f>'Detailed Report'!AN120</f>
        <v>0</v>
      </c>
      <c r="R124" s="110">
        <f>'Detailed Report'!AU120/1.14</f>
        <v>0</v>
      </c>
      <c r="S124" s="110">
        <f>'Detailed Report'!AU120-'........... - Otlob'!R124</f>
        <v>0</v>
      </c>
    </row>
    <row r="125" spans="1:19" ht="14.45" customHeight="1" x14ac:dyDescent="0.25">
      <c r="A125" s="105">
        <f>+IF(B125="","",SUBTOTAL(3,B$8:B125))</f>
        <v>118</v>
      </c>
      <c r="B125" s="106" t="str">
        <f>'Detailed Report'!O121</f>
        <v>Fuddruckers - City Stars</v>
      </c>
      <c r="C125" s="107">
        <f>TRUNC('Detailed Report'!Q121,0)</f>
        <v>46026</v>
      </c>
      <c r="D125" s="108">
        <f>'Detailed Report'!P121</f>
        <v>3381409619</v>
      </c>
      <c r="E125" s="106" t="str">
        <f>'Detailed Report'!S121</f>
        <v>Successful</v>
      </c>
      <c r="F125" s="109">
        <f>IF(E125=$E$6,('Detailed Report'!Y121),IF(E125=$E$5,(0),0))</f>
        <v>683.98</v>
      </c>
      <c r="G125" s="106">
        <f>IF(E125=$E$6,('Detailed Report'!AQ121),IF(E125=$E$5,('Detailed Report'!AW121),0))</f>
        <v>599.98245999999995</v>
      </c>
      <c r="H125" s="106">
        <f>'Detailed Report'!AS121</f>
        <v>149.99562</v>
      </c>
      <c r="I125" s="106">
        <f>'Detailed Report'!AT121</f>
        <v>20.9993868</v>
      </c>
      <c r="J125" s="106">
        <f>'Detailed Report'!AO121</f>
        <v>11.96965</v>
      </c>
      <c r="K125" s="106">
        <f>'Detailed Report'!AP121</f>
        <v>1.675751</v>
      </c>
      <c r="L125" s="106">
        <f>'Detailed Report'!AU121/1.14</f>
        <v>0</v>
      </c>
      <c r="M125" s="106">
        <f>'Detailed Report'!AU121-L125</f>
        <v>0</v>
      </c>
      <c r="N125" s="110">
        <f>'Detailed Report'!AW121</f>
        <v>499.34</v>
      </c>
      <c r="O125" s="111">
        <f t="shared" si="47"/>
        <v>100.64245999999997</v>
      </c>
      <c r="P125" s="110">
        <f>'Detailed Report'!AM121</f>
        <v>0</v>
      </c>
      <c r="Q125" s="110">
        <f>'Detailed Report'!AN121</f>
        <v>0</v>
      </c>
      <c r="R125" s="110">
        <f>'Detailed Report'!AU121/1.14</f>
        <v>0</v>
      </c>
      <c r="S125" s="110">
        <f>'Detailed Report'!AU121-'........... - Otlob'!R125</f>
        <v>0</v>
      </c>
    </row>
    <row r="126" spans="1:19" ht="14.45" customHeight="1" x14ac:dyDescent="0.25">
      <c r="A126" s="105">
        <f>+IF(B126="","",SUBTOTAL(3,B$8:B126))</f>
        <v>119</v>
      </c>
      <c r="B126" s="106" t="str">
        <f>'Detailed Report'!O122</f>
        <v>Fuddruckers - Concord Plaza Mall</v>
      </c>
      <c r="C126" s="107">
        <f>TRUNC('Detailed Report'!Q122,0)</f>
        <v>46026</v>
      </c>
      <c r="D126" s="108">
        <f>'Detailed Report'!P122</f>
        <v>3381456451</v>
      </c>
      <c r="E126" s="106" t="str">
        <f>'Detailed Report'!S122</f>
        <v>Successful</v>
      </c>
      <c r="F126" s="109">
        <f>IF(E126=$E$6,('Detailed Report'!Y122),IF(E126=$E$5,(0),0))</f>
        <v>384.99</v>
      </c>
      <c r="G126" s="106">
        <f>IF(E126=$E$6,('Detailed Report'!AQ122),IF(E126=$E$5,('Detailed Report'!AW122),0))</f>
        <v>337.71053000000001</v>
      </c>
      <c r="H126" s="106">
        <f>'Detailed Report'!AS122</f>
        <v>84.427629999999994</v>
      </c>
      <c r="I126" s="106">
        <f>'Detailed Report'!AT122</f>
        <v>11.8198682</v>
      </c>
      <c r="J126" s="106">
        <f>'Detailed Report'!AO122</f>
        <v>6.7373250000000002</v>
      </c>
      <c r="K126" s="106">
        <f>'Detailed Report'!AP122</f>
        <v>0.94322550000000005</v>
      </c>
      <c r="L126" s="106">
        <f>'Detailed Report'!AU122/1.14</f>
        <v>27.184210526315791</v>
      </c>
      <c r="M126" s="106">
        <f>'Detailed Report'!AU122-L126</f>
        <v>3.8057894736842073</v>
      </c>
      <c r="N126" s="110">
        <f>'Detailed Report'!AW122</f>
        <v>250.072</v>
      </c>
      <c r="O126" s="111">
        <f t="shared" si="47"/>
        <v>87.638530000000003</v>
      </c>
      <c r="P126" s="110">
        <f>'Detailed Report'!AM122</f>
        <v>0</v>
      </c>
      <c r="Q126" s="110">
        <f>'Detailed Report'!AN122</f>
        <v>0</v>
      </c>
      <c r="R126" s="110">
        <f>'Detailed Report'!AU122/1.14</f>
        <v>27.184210526315791</v>
      </c>
      <c r="S126" s="110">
        <f>'Detailed Report'!AU122-'........... - Otlob'!R126</f>
        <v>3.8057894736842073</v>
      </c>
    </row>
    <row r="127" spans="1:19" ht="14.45" customHeight="1" x14ac:dyDescent="0.25">
      <c r="A127" s="105">
        <f>+IF(B127="","",SUBTOTAL(3,B$8:B127))</f>
        <v>120</v>
      </c>
      <c r="B127" s="106" t="str">
        <f>'Detailed Report'!O123</f>
        <v>Fuddruckers - Concord Plaza Mall</v>
      </c>
      <c r="C127" s="107">
        <f>TRUNC('Detailed Report'!Q123,0)</f>
        <v>46026</v>
      </c>
      <c r="D127" s="108">
        <f>'Detailed Report'!P123</f>
        <v>3381483750</v>
      </c>
      <c r="E127" s="106" t="str">
        <f>'Detailed Report'!S123</f>
        <v>Successful</v>
      </c>
      <c r="F127" s="109">
        <f>IF(E127=$E$6,('Detailed Report'!Y123),IF(E127=$E$5,(0),0))</f>
        <v>734.97</v>
      </c>
      <c r="G127" s="106">
        <f>IF(E127=$E$6,('Detailed Report'!AQ123),IF(E127=$E$5,('Detailed Report'!AW123),0))</f>
        <v>644.71052999999995</v>
      </c>
      <c r="H127" s="106">
        <f>'Detailed Report'!AS123</f>
        <v>161.17762999999999</v>
      </c>
      <c r="I127" s="106">
        <f>'Detailed Report'!AT123</f>
        <v>22.564868199999999</v>
      </c>
      <c r="J127" s="106">
        <f>'Detailed Report'!AO123</f>
        <v>12.861974999999999</v>
      </c>
      <c r="K127" s="106">
        <f>'Detailed Report'!AP123</f>
        <v>1.8006765</v>
      </c>
      <c r="L127" s="106">
        <f>'Detailed Report'!AU123/1.14</f>
        <v>28.061403508771932</v>
      </c>
      <c r="M127" s="106">
        <f>'Detailed Report'!AU123-L127</f>
        <v>3.9285964912280669</v>
      </c>
      <c r="N127" s="110">
        <f>'Detailed Report'!AW123</f>
        <v>504.57499999999999</v>
      </c>
      <c r="O127" s="111">
        <f t="shared" si="47"/>
        <v>140.13552999999996</v>
      </c>
      <c r="P127" s="110">
        <f>'Detailed Report'!AM123</f>
        <v>0</v>
      </c>
      <c r="Q127" s="110">
        <f>'Detailed Report'!AN123</f>
        <v>0</v>
      </c>
      <c r="R127" s="110">
        <f>'Detailed Report'!AU123/1.14</f>
        <v>28.061403508771932</v>
      </c>
      <c r="S127" s="110">
        <f>'Detailed Report'!AU123-'........... - Otlob'!R127</f>
        <v>3.9285964912280669</v>
      </c>
    </row>
    <row r="128" spans="1:19" ht="14.45" customHeight="1" x14ac:dyDescent="0.25">
      <c r="A128" s="105">
        <f>+IF(B128="","",SUBTOTAL(3,B$8:B128))</f>
        <v>121</v>
      </c>
      <c r="B128" s="106" t="str">
        <f>'Detailed Report'!O124</f>
        <v>Fuddruckers - Concord Plaza Mall</v>
      </c>
      <c r="C128" s="107">
        <f>TRUNC('Detailed Report'!Q124,0)</f>
        <v>46026</v>
      </c>
      <c r="D128" s="108">
        <f>'Detailed Report'!P124</f>
        <v>3381520924</v>
      </c>
      <c r="E128" s="106" t="str">
        <f>'Detailed Report'!S124</f>
        <v>Successful</v>
      </c>
      <c r="F128" s="109">
        <f>IF(E128=$E$6,('Detailed Report'!Y124),IF(E128=$E$5,(0),0))</f>
        <v>317.14999999999998</v>
      </c>
      <c r="G128" s="106">
        <f>IF(E128=$E$6,('Detailed Report'!AQ124),IF(E128=$E$5,('Detailed Report'!AW124),0))</f>
        <v>278.20175</v>
      </c>
      <c r="H128" s="106">
        <f>'Detailed Report'!AS124</f>
        <v>69.550439999999995</v>
      </c>
      <c r="I128" s="106">
        <f>'Detailed Report'!AT124</f>
        <v>9.7370616000000005</v>
      </c>
      <c r="J128" s="106">
        <f>'Detailed Report'!AO124</f>
        <v>0</v>
      </c>
      <c r="K128" s="106">
        <f>'Detailed Report'!AP124</f>
        <v>0</v>
      </c>
      <c r="L128" s="106">
        <f>'Detailed Report'!AU124/1.14</f>
        <v>27.184210526315791</v>
      </c>
      <c r="M128" s="106">
        <f>'Detailed Report'!AU124-L128</f>
        <v>3.8057894736842073</v>
      </c>
      <c r="N128" s="110">
        <f>'Detailed Report'!AW124</f>
        <v>206.87200000000001</v>
      </c>
      <c r="O128" s="111">
        <f t="shared" si="47"/>
        <v>71.32974999999999</v>
      </c>
      <c r="P128" s="110">
        <f>'Detailed Report'!AM124</f>
        <v>0</v>
      </c>
      <c r="Q128" s="110">
        <f>'Detailed Report'!AN124</f>
        <v>0</v>
      </c>
      <c r="R128" s="110">
        <f>'Detailed Report'!AU124/1.14</f>
        <v>27.184210526315791</v>
      </c>
      <c r="S128" s="110">
        <f>'Detailed Report'!AU124-'........... - Otlob'!R128</f>
        <v>3.8057894736842073</v>
      </c>
    </row>
    <row r="129" spans="1:19" ht="14.45" customHeight="1" x14ac:dyDescent="0.25">
      <c r="A129" s="105">
        <f>+IF(B129="","",SUBTOTAL(3,B$8:B129))</f>
        <v>122</v>
      </c>
      <c r="B129" s="106" t="str">
        <f>'Detailed Report'!O125</f>
        <v>Fuddruckers - Concord Plaza Mall</v>
      </c>
      <c r="C129" s="107">
        <f>TRUNC('Detailed Report'!Q125,0)</f>
        <v>46026</v>
      </c>
      <c r="D129" s="108">
        <f>'Detailed Report'!P125</f>
        <v>3381558373</v>
      </c>
      <c r="E129" s="106" t="str">
        <f>'Detailed Report'!S125</f>
        <v>Successful</v>
      </c>
      <c r="F129" s="109">
        <f>IF(E129=$E$6,('Detailed Report'!Y125),IF(E129=$E$5,(0),0))</f>
        <v>692.48</v>
      </c>
      <c r="G129" s="106">
        <f>IF(E129=$E$6,('Detailed Report'!AQ125),IF(E129=$E$5,('Detailed Report'!AW125),0))</f>
        <v>607.43859999999995</v>
      </c>
      <c r="H129" s="106">
        <f>'Detailed Report'!AS125</f>
        <v>151.85964999999999</v>
      </c>
      <c r="I129" s="106">
        <f>'Detailed Report'!AT125</f>
        <v>21.260351</v>
      </c>
      <c r="J129" s="106">
        <f>'Detailed Report'!AO125</f>
        <v>12.118399999999999</v>
      </c>
      <c r="K129" s="106">
        <f>'Detailed Report'!AP125</f>
        <v>1.6965760000000001</v>
      </c>
      <c r="L129" s="106">
        <f>'Detailed Report'!AU125/1.14</f>
        <v>0</v>
      </c>
      <c r="M129" s="106">
        <f>'Detailed Report'!AU125-L129</f>
        <v>0</v>
      </c>
      <c r="N129" s="110">
        <f>'Detailed Report'!AW125</f>
        <v>505.54500000000002</v>
      </c>
      <c r="O129" s="111">
        <f t="shared" si="47"/>
        <v>101.89359999999994</v>
      </c>
      <c r="P129" s="110">
        <f>'Detailed Report'!AM125</f>
        <v>0</v>
      </c>
      <c r="Q129" s="110">
        <f>'Detailed Report'!AN125</f>
        <v>0</v>
      </c>
      <c r="R129" s="110">
        <f>'Detailed Report'!AU125/1.14</f>
        <v>0</v>
      </c>
      <c r="S129" s="110">
        <f>'Detailed Report'!AU125-'........... - Otlob'!R129</f>
        <v>0</v>
      </c>
    </row>
    <row r="130" spans="1:19" ht="14.45" customHeight="1" x14ac:dyDescent="0.25">
      <c r="A130" s="105">
        <f>+IF(B130="","",SUBTOTAL(3,B$8:B130))</f>
        <v>123</v>
      </c>
      <c r="B130" s="106" t="str">
        <f>'Detailed Report'!O126</f>
        <v>Fuddruckers - New Maadi</v>
      </c>
      <c r="C130" s="107">
        <f>TRUNC('Detailed Report'!Q126,0)</f>
        <v>46026</v>
      </c>
      <c r="D130" s="108">
        <f>'Detailed Report'!P126</f>
        <v>3381566973</v>
      </c>
      <c r="E130" s="106" t="str">
        <f>'Detailed Report'!S126</f>
        <v>Successful</v>
      </c>
      <c r="F130" s="109">
        <f>IF(E130=$E$6,('Detailed Report'!Y126),IF(E130=$E$5,(0),0))</f>
        <v>1023.96</v>
      </c>
      <c r="G130" s="106">
        <f>IF(E130=$E$6,('Detailed Report'!AQ126),IF(E130=$E$5,('Detailed Report'!AW126),0))</f>
        <v>898.21052999999995</v>
      </c>
      <c r="H130" s="106">
        <f>'Detailed Report'!AS126</f>
        <v>224.55262999999999</v>
      </c>
      <c r="I130" s="106">
        <f>'Detailed Report'!AT126</f>
        <v>31.437368200000002</v>
      </c>
      <c r="J130" s="106">
        <f>'Detailed Report'!AO126</f>
        <v>17.9193</v>
      </c>
      <c r="K130" s="106">
        <f>'Detailed Report'!AP126</f>
        <v>2.508702</v>
      </c>
      <c r="L130" s="106">
        <f>'Detailed Report'!AU126/1.14</f>
        <v>23.67543859649123</v>
      </c>
      <c r="M130" s="106">
        <f>'Detailed Report'!AU126-L130</f>
        <v>3.3145614035087689</v>
      </c>
      <c r="N130" s="110">
        <f>'Detailed Report'!AW126</f>
        <v>720.55200000000002</v>
      </c>
      <c r="O130" s="111">
        <f t="shared" si="47"/>
        <v>177.65852999999993</v>
      </c>
      <c r="P130" s="110">
        <f>'Detailed Report'!AM126</f>
        <v>0</v>
      </c>
      <c r="Q130" s="110">
        <f>'Detailed Report'!AN126</f>
        <v>0</v>
      </c>
      <c r="R130" s="110">
        <f>'Detailed Report'!AU126/1.14</f>
        <v>23.67543859649123</v>
      </c>
      <c r="S130" s="110">
        <f>'Detailed Report'!AU126-'........... - Otlob'!R130</f>
        <v>3.3145614035087689</v>
      </c>
    </row>
    <row r="131" spans="1:19" ht="14.45" customHeight="1" x14ac:dyDescent="0.25">
      <c r="A131" s="105">
        <f>+IF(B131="","",SUBTOTAL(3,B$8:B131))</f>
        <v>124</v>
      </c>
      <c r="B131" s="106" t="str">
        <f>'Detailed Report'!O127</f>
        <v>Fuddruckers - Concord Plaza Mall</v>
      </c>
      <c r="C131" s="107">
        <f>TRUNC('Detailed Report'!Q127,0)</f>
        <v>46026</v>
      </c>
      <c r="D131" s="108">
        <f>'Detailed Report'!P127</f>
        <v>3381613972</v>
      </c>
      <c r="E131" s="106" t="str">
        <f>'Detailed Report'!S127</f>
        <v>Successful</v>
      </c>
      <c r="F131" s="109">
        <f>IF(E131=$E$6,('Detailed Report'!Y127),IF(E131=$E$5,(0),0))</f>
        <v>515.98</v>
      </c>
      <c r="G131" s="106">
        <f>IF(E131=$E$6,('Detailed Report'!AQ127),IF(E131=$E$5,('Detailed Report'!AW127),0))</f>
        <v>452.61403999999999</v>
      </c>
      <c r="H131" s="106">
        <f>'Detailed Report'!AS127</f>
        <v>113.15351</v>
      </c>
      <c r="I131" s="106">
        <f>'Detailed Report'!AT127</f>
        <v>15.841491400000001</v>
      </c>
      <c r="J131" s="106">
        <f>'Detailed Report'!AO127</f>
        <v>9.0296500000000002</v>
      </c>
      <c r="K131" s="106">
        <f>'Detailed Report'!AP127</f>
        <v>1.264151</v>
      </c>
      <c r="L131" s="106">
        <f>'Detailed Report'!AU127/1.14</f>
        <v>28.938596491228076</v>
      </c>
      <c r="M131" s="106">
        <f>'Detailed Report'!AU127-L131</f>
        <v>4.0514035087719265</v>
      </c>
      <c r="N131" s="110">
        <f>'Detailed Report'!AW127</f>
        <v>343.70100000000002</v>
      </c>
      <c r="O131" s="111">
        <f t="shared" si="47"/>
        <v>108.91303999999997</v>
      </c>
      <c r="P131" s="110">
        <f>'Detailed Report'!AM127</f>
        <v>0</v>
      </c>
      <c r="Q131" s="110">
        <f>'Detailed Report'!AN127</f>
        <v>0</v>
      </c>
      <c r="R131" s="110">
        <f>'Detailed Report'!AU127/1.14</f>
        <v>28.938596491228076</v>
      </c>
      <c r="S131" s="110">
        <f>'Detailed Report'!AU127-'........... - Otlob'!R131</f>
        <v>4.0514035087719265</v>
      </c>
    </row>
    <row r="132" spans="1:19" ht="14.45" customHeight="1" x14ac:dyDescent="0.25">
      <c r="A132" s="105">
        <f>+IF(B132="","",SUBTOTAL(3,B$8:B132))</f>
        <v>125</v>
      </c>
      <c r="B132" s="106" t="str">
        <f>'Detailed Report'!O128</f>
        <v>Fuddruckers - Concord Plaza Mall</v>
      </c>
      <c r="C132" s="107">
        <f>TRUNC('Detailed Report'!Q128,0)</f>
        <v>46026</v>
      </c>
      <c r="D132" s="108">
        <f>'Detailed Report'!P128</f>
        <v>3381720105</v>
      </c>
      <c r="E132" s="106" t="str">
        <f>'Detailed Report'!S128</f>
        <v>Successful</v>
      </c>
      <c r="F132" s="109">
        <f>IF(E132=$E$6,('Detailed Report'!Y128),IF(E132=$E$5,(0),0))</f>
        <v>642.97</v>
      </c>
      <c r="G132" s="106">
        <f>IF(E132=$E$6,('Detailed Report'!AQ128),IF(E132=$E$5,('Detailed Report'!AW128),0))</f>
        <v>564.00877000000003</v>
      </c>
      <c r="H132" s="106">
        <f>'Detailed Report'!AS128</f>
        <v>141.00219000000001</v>
      </c>
      <c r="I132" s="106">
        <f>'Detailed Report'!AT128</f>
        <v>19.7403066</v>
      </c>
      <c r="J132" s="106">
        <f>'Detailed Report'!AO128</f>
        <v>0</v>
      </c>
      <c r="K132" s="106">
        <f>'Detailed Report'!AP128</f>
        <v>0</v>
      </c>
      <c r="L132" s="106">
        <f>'Detailed Report'!AU128/1.14</f>
        <v>32.447368421052637</v>
      </c>
      <c r="M132" s="106">
        <f>'Detailed Report'!AU128-L132</f>
        <v>4.5426315789473648</v>
      </c>
      <c r="N132" s="110">
        <f>'Detailed Report'!AW128</f>
        <v>445.238</v>
      </c>
      <c r="O132" s="111">
        <f t="shared" si="47"/>
        <v>118.77077000000003</v>
      </c>
      <c r="P132" s="110">
        <f>'Detailed Report'!AM128</f>
        <v>0</v>
      </c>
      <c r="Q132" s="110">
        <f>'Detailed Report'!AN128</f>
        <v>0</v>
      </c>
      <c r="R132" s="110">
        <f>'Detailed Report'!AU128/1.14</f>
        <v>32.447368421052637</v>
      </c>
      <c r="S132" s="110">
        <f>'Detailed Report'!AU128-'........... - Otlob'!R132</f>
        <v>4.5426315789473648</v>
      </c>
    </row>
    <row r="133" spans="1:19" ht="14.45" customHeight="1" x14ac:dyDescent="0.25">
      <c r="A133" s="105">
        <f>+IF(B133="","",SUBTOTAL(3,B$8:B133))</f>
        <v>126</v>
      </c>
      <c r="B133" s="106" t="str">
        <f>'Detailed Report'!O129</f>
        <v>Fuddruckers - Concord Plaza Mall</v>
      </c>
      <c r="C133" s="107">
        <f>TRUNC('Detailed Report'!Q129,0)</f>
        <v>46026</v>
      </c>
      <c r="D133" s="108">
        <f>'Detailed Report'!P129</f>
        <v>3381727180</v>
      </c>
      <c r="E133" s="106" t="str">
        <f>'Detailed Report'!S129</f>
        <v>Successful</v>
      </c>
      <c r="F133" s="109">
        <f>IF(E133=$E$6,('Detailed Report'!Y129),IF(E133=$E$5,(0),0))</f>
        <v>770.64</v>
      </c>
      <c r="G133" s="106">
        <f>IF(E133=$E$6,('Detailed Report'!AQ129),IF(E133=$E$5,('Detailed Report'!AW129),0))</f>
        <v>676</v>
      </c>
      <c r="H133" s="106">
        <f>'Detailed Report'!AS129</f>
        <v>169</v>
      </c>
      <c r="I133" s="106">
        <f>'Detailed Report'!AT129</f>
        <v>23.66</v>
      </c>
      <c r="J133" s="106">
        <f>'Detailed Report'!AO129</f>
        <v>0</v>
      </c>
      <c r="K133" s="106">
        <f>'Detailed Report'!AP129</f>
        <v>0</v>
      </c>
      <c r="L133" s="106">
        <f>'Detailed Report'!AU129/1.14</f>
        <v>0</v>
      </c>
      <c r="M133" s="106">
        <f>'Detailed Report'!AU129-L133</f>
        <v>0</v>
      </c>
      <c r="N133" s="110">
        <f>'Detailed Report'!AW129</f>
        <v>577.98</v>
      </c>
      <c r="O133" s="111">
        <f t="shared" si="47"/>
        <v>98.019999999999982</v>
      </c>
      <c r="P133" s="110">
        <f>'Detailed Report'!AM129</f>
        <v>0</v>
      </c>
      <c r="Q133" s="110">
        <f>'Detailed Report'!AN129</f>
        <v>0</v>
      </c>
      <c r="R133" s="110">
        <f>'Detailed Report'!AU129/1.14</f>
        <v>0</v>
      </c>
      <c r="S133" s="110">
        <f>'Detailed Report'!AU129-'........... - Otlob'!R133</f>
        <v>0</v>
      </c>
    </row>
    <row r="134" spans="1:19" ht="14.45" customHeight="1" x14ac:dyDescent="0.25">
      <c r="A134" s="105">
        <f>+IF(B134="","",SUBTOTAL(3,B$8:B134))</f>
        <v>127</v>
      </c>
      <c r="B134" s="106" t="str">
        <f>'Detailed Report'!O130</f>
        <v>Fuddruckers - Concord Plaza Mall</v>
      </c>
      <c r="C134" s="107">
        <f>TRUNC('Detailed Report'!Q130,0)</f>
        <v>46026</v>
      </c>
      <c r="D134" s="108">
        <f>'Detailed Report'!P130</f>
        <v>3381837242</v>
      </c>
      <c r="E134" s="106" t="str">
        <f>'Detailed Report'!S130</f>
        <v>Successful</v>
      </c>
      <c r="F134" s="109">
        <f>IF(E134=$E$6,('Detailed Report'!Y130),IF(E134=$E$5,(0),0))</f>
        <v>599.97</v>
      </c>
      <c r="G134" s="106">
        <f>IF(E134=$E$6,('Detailed Report'!AQ130),IF(E134=$E$5,('Detailed Report'!AW130),0))</f>
        <v>526.28947000000005</v>
      </c>
      <c r="H134" s="106">
        <f>'Detailed Report'!AS130</f>
        <v>131.57237000000001</v>
      </c>
      <c r="I134" s="106">
        <f>'Detailed Report'!AT130</f>
        <v>18.4201318</v>
      </c>
      <c r="J134" s="106">
        <f>'Detailed Report'!AO130</f>
        <v>10.499475</v>
      </c>
      <c r="K134" s="106">
        <f>'Detailed Report'!AP130</f>
        <v>1.4699264999999999</v>
      </c>
      <c r="L134" s="106">
        <f>'Detailed Report'!AU130/1.14</f>
        <v>29.815789473684216</v>
      </c>
      <c r="M134" s="106">
        <f>'Detailed Report'!AU130-L134</f>
        <v>4.174210526315786</v>
      </c>
      <c r="N134" s="110">
        <f>'Detailed Report'!AW130</f>
        <v>404.01799999999997</v>
      </c>
      <c r="O134" s="111">
        <f t="shared" si="47"/>
        <v>122.27147000000008</v>
      </c>
      <c r="P134" s="110">
        <f>'Detailed Report'!AM130</f>
        <v>0</v>
      </c>
      <c r="Q134" s="110">
        <f>'Detailed Report'!AN130</f>
        <v>0</v>
      </c>
      <c r="R134" s="110">
        <f>'Detailed Report'!AU130/1.14</f>
        <v>29.815789473684216</v>
      </c>
      <c r="S134" s="110">
        <f>'Detailed Report'!AU130-'........... - Otlob'!R134</f>
        <v>4.174210526315786</v>
      </c>
    </row>
    <row r="135" spans="1:19" ht="14.45" customHeight="1" x14ac:dyDescent="0.25">
      <c r="A135" s="105">
        <f>+IF(B135="","",SUBTOTAL(3,B$8:B135))</f>
        <v>128</v>
      </c>
      <c r="B135" s="106" t="str">
        <f>'Detailed Report'!O131</f>
        <v>Fuddruckers - New Maadi</v>
      </c>
      <c r="C135" s="107">
        <f>TRUNC('Detailed Report'!Q131,0)</f>
        <v>46027</v>
      </c>
      <c r="D135" s="108">
        <f>'Detailed Report'!P131</f>
        <v>3382423386</v>
      </c>
      <c r="E135" s="106" t="str">
        <f>'Detailed Report'!S131</f>
        <v>Successful</v>
      </c>
      <c r="F135" s="109">
        <f>IF(E135=$E$6,('Detailed Report'!Y131),IF(E135=$E$5,(0),0))</f>
        <v>259.99</v>
      </c>
      <c r="G135" s="106">
        <f>IF(E135=$E$6,('Detailed Report'!AQ131),IF(E135=$E$5,('Detailed Report'!AW131),0))</f>
        <v>228.06139999999999</v>
      </c>
      <c r="H135" s="106">
        <f>'Detailed Report'!AS131</f>
        <v>57.015349999999998</v>
      </c>
      <c r="I135" s="106">
        <f>'Detailed Report'!AT131</f>
        <v>7.9821489999999997</v>
      </c>
      <c r="J135" s="106">
        <f>'Detailed Report'!AO131</f>
        <v>4.5498250000000002</v>
      </c>
      <c r="K135" s="106">
        <f>'Detailed Report'!AP131</f>
        <v>0.63697550000000003</v>
      </c>
      <c r="L135" s="106">
        <f>'Detailed Report'!AU131/1.14</f>
        <v>0</v>
      </c>
      <c r="M135" s="106">
        <f>'Detailed Report'!AU131-L135</f>
        <v>0</v>
      </c>
      <c r="N135" s="110">
        <f>'Detailed Report'!AW131</f>
        <v>155.60599999999999</v>
      </c>
      <c r="O135" s="111">
        <f t="shared" si="47"/>
        <v>72.455399999999997</v>
      </c>
      <c r="P135" s="110">
        <f>'Detailed Report'!AM131</f>
        <v>30</v>
      </c>
      <c r="Q135" s="110">
        <f>'Detailed Report'!AN131</f>
        <v>4.2</v>
      </c>
      <c r="R135" s="110">
        <f>'Detailed Report'!AU131/1.14</f>
        <v>0</v>
      </c>
      <c r="S135" s="110">
        <f>'Detailed Report'!AU131-'........... - Otlob'!R135</f>
        <v>0</v>
      </c>
    </row>
    <row r="136" spans="1:19" ht="14.45" customHeight="1" x14ac:dyDescent="0.25">
      <c r="A136" s="105">
        <f>+IF(B136="","",SUBTOTAL(3,B$8:B136))</f>
        <v>129</v>
      </c>
      <c r="B136" s="106" t="str">
        <f>'Detailed Report'!O132</f>
        <v>Fuddruckers - New Maadi</v>
      </c>
      <c r="C136" s="107">
        <f>TRUNC('Detailed Report'!Q132,0)</f>
        <v>46027</v>
      </c>
      <c r="D136" s="108">
        <f>'Detailed Report'!P132</f>
        <v>3382491277</v>
      </c>
      <c r="E136" s="106" t="str">
        <f>'Detailed Report'!S132</f>
        <v>Successful</v>
      </c>
      <c r="F136" s="109">
        <f>IF(E136=$E$6,('Detailed Report'!Y132),IF(E136=$E$5,(0),0))</f>
        <v>117.86</v>
      </c>
      <c r="G136" s="106">
        <f>IF(E136=$E$6,('Detailed Report'!AQ132),IF(E136=$E$5,('Detailed Report'!AW132),0))</f>
        <v>103.38596</v>
      </c>
      <c r="H136" s="106">
        <f>'Detailed Report'!AS132</f>
        <v>25.846489999999999</v>
      </c>
      <c r="I136" s="106">
        <f>'Detailed Report'!AT132</f>
        <v>3.6185086000000002</v>
      </c>
      <c r="J136" s="106">
        <f>'Detailed Report'!AO132</f>
        <v>2.0625499999999999</v>
      </c>
      <c r="K136" s="106">
        <f>'Detailed Report'!AP132</f>
        <v>0.28875699999999999</v>
      </c>
      <c r="L136" s="106">
        <f>'Detailed Report'!AU132/1.14</f>
        <v>0</v>
      </c>
      <c r="M136" s="106">
        <f>'Detailed Report'!AU132-L136</f>
        <v>0</v>
      </c>
      <c r="N136" s="110">
        <f>'Detailed Report'!AW132</f>
        <v>86.043999999999997</v>
      </c>
      <c r="O136" s="111">
        <f t="shared" si="47"/>
        <v>17.34196</v>
      </c>
      <c r="P136" s="110">
        <f>'Detailed Report'!AM132</f>
        <v>0</v>
      </c>
      <c r="Q136" s="110">
        <f>'Detailed Report'!AN132</f>
        <v>0</v>
      </c>
      <c r="R136" s="110">
        <f>'Detailed Report'!AU132/1.14</f>
        <v>0</v>
      </c>
      <c r="S136" s="110">
        <f>'Detailed Report'!AU132-'........... - Otlob'!R136</f>
        <v>0</v>
      </c>
    </row>
    <row r="137" spans="1:19" ht="14.45" customHeight="1" x14ac:dyDescent="0.25">
      <c r="A137" s="105">
        <f>+IF(B137="","",SUBTOTAL(3,B$8:B137))</f>
        <v>130</v>
      </c>
      <c r="B137" s="106" t="str">
        <f>'Detailed Report'!O133</f>
        <v>Fuddruckers - New Maadi</v>
      </c>
      <c r="C137" s="107">
        <f>TRUNC('Detailed Report'!Q133,0)</f>
        <v>46027</v>
      </c>
      <c r="D137" s="108">
        <f>'Detailed Report'!P133</f>
        <v>3382612161</v>
      </c>
      <c r="E137" s="106" t="str">
        <f>'Detailed Report'!S133</f>
        <v>Successful</v>
      </c>
      <c r="F137" s="109">
        <f>IF(E137=$E$6,('Detailed Report'!Y133),IF(E137=$E$5,(0),0))</f>
        <v>1454.93</v>
      </c>
      <c r="G137" s="106">
        <f>IF(E137=$E$6,('Detailed Report'!AQ133),IF(E137=$E$5,('Detailed Report'!AW133),0))</f>
        <v>1276.2543900000001</v>
      </c>
      <c r="H137" s="106">
        <f>'Detailed Report'!AS133</f>
        <v>319.06360000000001</v>
      </c>
      <c r="I137" s="106">
        <f>'Detailed Report'!AT133</f>
        <v>44.668903999999998</v>
      </c>
      <c r="J137" s="106">
        <f>'Detailed Report'!AO133</f>
        <v>25.461275000000001</v>
      </c>
      <c r="K137" s="106">
        <f>'Detailed Report'!AP133</f>
        <v>3.5645785000000001</v>
      </c>
      <c r="L137" s="106">
        <f>'Detailed Report'!AU133/1.14</f>
        <v>25.42982456140351</v>
      </c>
      <c r="M137" s="106">
        <f>'Detailed Report'!AU133-L137</f>
        <v>3.5601754385964881</v>
      </c>
      <c r="N137" s="110">
        <f>'Detailed Report'!AW133</f>
        <v>1033.182</v>
      </c>
      <c r="O137" s="111">
        <f t="shared" ref="O137:O200" si="48">G137-N137</f>
        <v>243.07239000000004</v>
      </c>
      <c r="P137" s="110">
        <f>'Detailed Report'!AM133</f>
        <v>0</v>
      </c>
      <c r="Q137" s="110">
        <f>'Detailed Report'!AN133</f>
        <v>0</v>
      </c>
      <c r="R137" s="110">
        <f>'Detailed Report'!AU133/1.14</f>
        <v>25.42982456140351</v>
      </c>
      <c r="S137" s="110">
        <f>'Detailed Report'!AU133-'........... - Otlob'!R137</f>
        <v>3.5601754385964881</v>
      </c>
    </row>
    <row r="138" spans="1:19" ht="14.45" customHeight="1" x14ac:dyDescent="0.25">
      <c r="A138" s="105">
        <f>+IF(B138="","",SUBTOTAL(3,B$8:B138))</f>
        <v>131</v>
      </c>
      <c r="B138" s="106" t="str">
        <f>'Detailed Report'!O134</f>
        <v>Fuddruckers - City Stars</v>
      </c>
      <c r="C138" s="107">
        <f>TRUNC('Detailed Report'!Q134,0)</f>
        <v>46027</v>
      </c>
      <c r="D138" s="108">
        <f>'Detailed Report'!P134</f>
        <v>3382806120</v>
      </c>
      <c r="E138" s="106" t="str">
        <f>'Detailed Report'!S134</f>
        <v>Successful</v>
      </c>
      <c r="F138" s="109">
        <f>IF(E138=$E$6,('Detailed Report'!Y134),IF(E138=$E$5,(0),0))</f>
        <v>299.92</v>
      </c>
      <c r="G138" s="106">
        <f>IF(E138=$E$6,('Detailed Report'!AQ134),IF(E138=$E$5,('Detailed Report'!AW134),0))</f>
        <v>263.08771999999999</v>
      </c>
      <c r="H138" s="106">
        <f>'Detailed Report'!AS134</f>
        <v>65.771929999999998</v>
      </c>
      <c r="I138" s="106">
        <f>'Detailed Report'!AT134</f>
        <v>9.2080701999999999</v>
      </c>
      <c r="J138" s="106">
        <f>'Detailed Report'!AO134</f>
        <v>0</v>
      </c>
      <c r="K138" s="106">
        <f>'Detailed Report'!AP134</f>
        <v>0</v>
      </c>
      <c r="L138" s="106">
        <f>'Detailed Report'!AU134/1.14</f>
        <v>0</v>
      </c>
      <c r="M138" s="106">
        <f>'Detailed Report'!AU134-L138</f>
        <v>0</v>
      </c>
      <c r="N138" s="110">
        <f>'Detailed Report'!AW134</f>
        <v>224.94</v>
      </c>
      <c r="O138" s="111">
        <f t="shared" si="48"/>
        <v>38.147719999999993</v>
      </c>
      <c r="P138" s="110">
        <f>'Detailed Report'!AM134</f>
        <v>0</v>
      </c>
      <c r="Q138" s="110">
        <f>'Detailed Report'!AN134</f>
        <v>0</v>
      </c>
      <c r="R138" s="110">
        <f>'Detailed Report'!AU134/1.14</f>
        <v>0</v>
      </c>
      <c r="S138" s="110">
        <f>'Detailed Report'!AU134-'........... - Otlob'!R138</f>
        <v>0</v>
      </c>
    </row>
    <row r="139" spans="1:19" ht="14.45" customHeight="1" x14ac:dyDescent="0.25">
      <c r="A139" s="105">
        <f>+IF(B139="","",SUBTOTAL(3,B$8:B139))</f>
        <v>132</v>
      </c>
      <c r="B139" s="106" t="str">
        <f>'Detailed Report'!O135</f>
        <v>Fuddruckers - City Stars</v>
      </c>
      <c r="C139" s="107">
        <f>TRUNC('Detailed Report'!Q135,0)</f>
        <v>46027</v>
      </c>
      <c r="D139" s="108">
        <f>'Detailed Report'!P135</f>
        <v>3382874869</v>
      </c>
      <c r="E139" s="106" t="str">
        <f>'Detailed Report'!S135</f>
        <v>Successful</v>
      </c>
      <c r="F139" s="109">
        <f>IF(E139=$E$6,('Detailed Report'!Y135),IF(E139=$E$5,(0),0))</f>
        <v>258</v>
      </c>
      <c r="G139" s="106">
        <f>IF(E139=$E$6,('Detailed Report'!AQ135),IF(E139=$E$5,('Detailed Report'!AW135),0))</f>
        <v>226.31578999999999</v>
      </c>
      <c r="H139" s="106">
        <f>'Detailed Report'!AS135</f>
        <v>56.578949999999999</v>
      </c>
      <c r="I139" s="106">
        <f>'Detailed Report'!AT135</f>
        <v>7.9210529999999997</v>
      </c>
      <c r="J139" s="106">
        <f>'Detailed Report'!AO135</f>
        <v>4.5149999999999997</v>
      </c>
      <c r="K139" s="106">
        <f>'Detailed Report'!AP135</f>
        <v>0.6321</v>
      </c>
      <c r="L139" s="106">
        <f>'Detailed Report'!AU135/1.14</f>
        <v>24.55263157894737</v>
      </c>
      <c r="M139" s="106">
        <f>'Detailed Report'!AU135-L139</f>
        <v>3.4373684210526285</v>
      </c>
      <c r="N139" s="110">
        <f>'Detailed Report'!AW135</f>
        <v>160.363</v>
      </c>
      <c r="O139" s="111">
        <f t="shared" si="48"/>
        <v>65.952789999999993</v>
      </c>
      <c r="P139" s="110">
        <f>'Detailed Report'!AM135</f>
        <v>0</v>
      </c>
      <c r="Q139" s="110">
        <f>'Detailed Report'!AN135</f>
        <v>0</v>
      </c>
      <c r="R139" s="110">
        <f>'Detailed Report'!AU135/1.14</f>
        <v>24.55263157894737</v>
      </c>
      <c r="S139" s="110">
        <f>'Detailed Report'!AU135-'........... - Otlob'!R139</f>
        <v>3.4373684210526285</v>
      </c>
    </row>
    <row r="140" spans="1:19" ht="14.45" customHeight="1" x14ac:dyDescent="0.25">
      <c r="A140" s="105">
        <f>+IF(B140="","",SUBTOTAL(3,B$8:B140))</f>
        <v>133</v>
      </c>
      <c r="B140" s="106" t="str">
        <f>'Detailed Report'!O136</f>
        <v>Fuddruckers - Concord Plaza Mall</v>
      </c>
      <c r="C140" s="107">
        <f>TRUNC('Detailed Report'!Q136,0)</f>
        <v>46027</v>
      </c>
      <c r="D140" s="108">
        <f>'Detailed Report'!P136</f>
        <v>3382875376</v>
      </c>
      <c r="E140" s="106" t="str">
        <f>'Detailed Report'!S136</f>
        <v>Successful</v>
      </c>
      <c r="F140" s="109">
        <f>IF(E140=$E$6,('Detailed Report'!Y136),IF(E140=$E$5,(0),0))</f>
        <v>639.99</v>
      </c>
      <c r="G140" s="106">
        <f>IF(E140=$E$6,('Detailed Report'!AQ136),IF(E140=$E$5,('Detailed Report'!AW136),0))</f>
        <v>561.39473999999996</v>
      </c>
      <c r="H140" s="106">
        <f>'Detailed Report'!AS136</f>
        <v>140.34869</v>
      </c>
      <c r="I140" s="106">
        <f>'Detailed Report'!AT136</f>
        <v>19.6488166</v>
      </c>
      <c r="J140" s="106">
        <f>'Detailed Report'!AO136</f>
        <v>11.199825000000001</v>
      </c>
      <c r="K140" s="106">
        <f>'Detailed Report'!AP136</f>
        <v>1.5679755</v>
      </c>
      <c r="L140" s="106">
        <f>'Detailed Report'!AU136/1.14</f>
        <v>28.938596491228076</v>
      </c>
      <c r="M140" s="106">
        <f>'Detailed Report'!AU136-L140</f>
        <v>4.0514035087719265</v>
      </c>
      <c r="N140" s="110">
        <f>'Detailed Report'!AW136</f>
        <v>400.03500000000003</v>
      </c>
      <c r="O140" s="111">
        <f t="shared" si="48"/>
        <v>161.35973999999993</v>
      </c>
      <c r="P140" s="110">
        <f>'Detailed Report'!AM136</f>
        <v>30</v>
      </c>
      <c r="Q140" s="110">
        <f>'Detailed Report'!AN136</f>
        <v>4.2</v>
      </c>
      <c r="R140" s="110">
        <f>'Detailed Report'!AU136/1.14</f>
        <v>28.938596491228076</v>
      </c>
      <c r="S140" s="110">
        <f>'Detailed Report'!AU136-'........... - Otlob'!R140</f>
        <v>4.0514035087719265</v>
      </c>
    </row>
    <row r="141" spans="1:19" ht="14.45" customHeight="1" x14ac:dyDescent="0.25">
      <c r="A141" s="105">
        <f>+IF(B141="","",SUBTOTAL(3,B$8:B141))</f>
        <v>134</v>
      </c>
      <c r="B141" s="106" t="str">
        <f>'Detailed Report'!O137</f>
        <v>Fuddruckers - New Maadi</v>
      </c>
      <c r="C141" s="107">
        <f>TRUNC('Detailed Report'!Q137,0)</f>
        <v>46027</v>
      </c>
      <c r="D141" s="108">
        <f>'Detailed Report'!P137</f>
        <v>3382884919</v>
      </c>
      <c r="E141" s="106" t="str">
        <f>'Detailed Report'!S137</f>
        <v>Successful</v>
      </c>
      <c r="F141" s="109">
        <f>IF(E141=$E$6,('Detailed Report'!Y137),IF(E141=$E$5,(0),0))</f>
        <v>233.99</v>
      </c>
      <c r="G141" s="106">
        <f>IF(E141=$E$6,('Detailed Report'!AQ137),IF(E141=$E$5,('Detailed Report'!AW137),0))</f>
        <v>205.25439</v>
      </c>
      <c r="H141" s="106">
        <f>'Detailed Report'!AS137</f>
        <v>51.313600000000001</v>
      </c>
      <c r="I141" s="106">
        <f>'Detailed Report'!AT137</f>
        <v>7.1839040000000001</v>
      </c>
      <c r="J141" s="106">
        <f>'Detailed Report'!AO137</f>
        <v>4.0948250000000002</v>
      </c>
      <c r="K141" s="106">
        <f>'Detailed Report'!AP137</f>
        <v>0.57327550000000005</v>
      </c>
      <c r="L141" s="106">
        <f>'Detailed Report'!AU137/1.14</f>
        <v>25.42982456140351</v>
      </c>
      <c r="M141" s="106">
        <f>'Detailed Report'!AU137-L141</f>
        <v>3.5601754385964881</v>
      </c>
      <c r="N141" s="110">
        <f>'Detailed Report'!AW137</f>
        <v>141.834</v>
      </c>
      <c r="O141" s="111">
        <f t="shared" si="48"/>
        <v>63.420389999999998</v>
      </c>
      <c r="P141" s="110">
        <f>'Detailed Report'!AM137</f>
        <v>0</v>
      </c>
      <c r="Q141" s="110">
        <f>'Detailed Report'!AN137</f>
        <v>0</v>
      </c>
      <c r="R141" s="110">
        <f>'Detailed Report'!AU137/1.14</f>
        <v>25.42982456140351</v>
      </c>
      <c r="S141" s="110">
        <f>'Detailed Report'!AU137-'........... - Otlob'!R141</f>
        <v>3.5601754385964881</v>
      </c>
    </row>
    <row r="142" spans="1:19" ht="14.45" customHeight="1" x14ac:dyDescent="0.25">
      <c r="A142" s="105">
        <f>+IF(B142="","",SUBTOTAL(3,B$8:B142))</f>
        <v>135</v>
      </c>
      <c r="B142" s="106" t="str">
        <f>'Detailed Report'!O138</f>
        <v>Fuddruckers - New Maadi</v>
      </c>
      <c r="C142" s="107">
        <f>TRUNC('Detailed Report'!Q138,0)</f>
        <v>46027</v>
      </c>
      <c r="D142" s="108">
        <f>'Detailed Report'!P138</f>
        <v>3382905072</v>
      </c>
      <c r="E142" s="106" t="str">
        <f>'Detailed Report'!S138</f>
        <v>Successful</v>
      </c>
      <c r="F142" s="109">
        <f>IF(E142=$E$6,('Detailed Report'!Y138),IF(E142=$E$5,(0),0))</f>
        <v>827.97</v>
      </c>
      <c r="G142" s="106">
        <f>IF(E142=$E$6,('Detailed Report'!AQ138),IF(E142=$E$5,('Detailed Report'!AW138),0))</f>
        <v>726.28947000000005</v>
      </c>
      <c r="H142" s="106">
        <f>'Detailed Report'!AS138</f>
        <v>181.57237000000001</v>
      </c>
      <c r="I142" s="106">
        <f>'Detailed Report'!AT138</f>
        <v>25.4201318</v>
      </c>
      <c r="J142" s="106">
        <f>'Detailed Report'!AO138</f>
        <v>14.489475000000001</v>
      </c>
      <c r="K142" s="106">
        <f>'Detailed Report'!AP138</f>
        <v>2.0285264999999999</v>
      </c>
      <c r="L142" s="106">
        <f>'Detailed Report'!AU138/1.14</f>
        <v>0</v>
      </c>
      <c r="M142" s="106">
        <f>'Detailed Report'!AU138-L142</f>
        <v>0</v>
      </c>
      <c r="N142" s="110">
        <f>'Detailed Report'!AW138</f>
        <v>604.45899999999995</v>
      </c>
      <c r="O142" s="111">
        <f t="shared" si="48"/>
        <v>121.8304700000001</v>
      </c>
      <c r="P142" s="110">
        <f>'Detailed Report'!AM138</f>
        <v>0</v>
      </c>
      <c r="Q142" s="110">
        <f>'Detailed Report'!AN138</f>
        <v>0</v>
      </c>
      <c r="R142" s="110">
        <f>'Detailed Report'!AU138/1.14</f>
        <v>0</v>
      </c>
      <c r="S142" s="110">
        <f>'Detailed Report'!AU138-'........... - Otlob'!R142</f>
        <v>0</v>
      </c>
    </row>
    <row r="143" spans="1:19" ht="14.45" customHeight="1" x14ac:dyDescent="0.25">
      <c r="A143" s="105">
        <f>+IF(B143="","",SUBTOTAL(3,B$8:B143))</f>
        <v>136</v>
      </c>
      <c r="B143" s="106" t="str">
        <f>'Detailed Report'!O139</f>
        <v>Fuddruckers - New Maadi</v>
      </c>
      <c r="C143" s="107">
        <f>TRUNC('Detailed Report'!Q139,0)</f>
        <v>46027</v>
      </c>
      <c r="D143" s="108">
        <f>'Detailed Report'!P139</f>
        <v>3382926044</v>
      </c>
      <c r="E143" s="106" t="str">
        <f>'Detailed Report'!S139</f>
        <v>Successful</v>
      </c>
      <c r="F143" s="109">
        <f>IF(E143=$E$6,('Detailed Report'!Y139),IF(E143=$E$5,(0),0))</f>
        <v>384.01</v>
      </c>
      <c r="G143" s="106">
        <f>IF(E143=$E$6,('Detailed Report'!AQ139),IF(E143=$E$5,('Detailed Report'!AW139),0))</f>
        <v>336.85088000000002</v>
      </c>
      <c r="H143" s="106">
        <f>'Detailed Report'!AS139</f>
        <v>84.212720000000004</v>
      </c>
      <c r="I143" s="106">
        <f>'Detailed Report'!AT139</f>
        <v>11.789780800000001</v>
      </c>
      <c r="J143" s="106">
        <f>'Detailed Report'!AO139</f>
        <v>6.7201750000000002</v>
      </c>
      <c r="K143" s="106">
        <f>'Detailed Report'!AP139</f>
        <v>0.94082449999999995</v>
      </c>
      <c r="L143" s="106">
        <f>'Detailed Report'!AU139/1.14</f>
        <v>0</v>
      </c>
      <c r="M143" s="106">
        <f>'Detailed Report'!AU139-L143</f>
        <v>0</v>
      </c>
      <c r="N143" s="110">
        <f>'Detailed Report'!AW139</f>
        <v>280.346</v>
      </c>
      <c r="O143" s="111">
        <f t="shared" si="48"/>
        <v>56.504880000000014</v>
      </c>
      <c r="P143" s="110">
        <f>'Detailed Report'!AM139</f>
        <v>0</v>
      </c>
      <c r="Q143" s="110">
        <f>'Detailed Report'!AN139</f>
        <v>0</v>
      </c>
      <c r="R143" s="110">
        <f>'Detailed Report'!AU139/1.14</f>
        <v>0</v>
      </c>
      <c r="S143" s="110">
        <f>'Detailed Report'!AU139-'........... - Otlob'!R143</f>
        <v>0</v>
      </c>
    </row>
    <row r="144" spans="1:19" ht="14.45" customHeight="1" x14ac:dyDescent="0.25">
      <c r="A144" s="105">
        <f>+IF(B144="","",SUBTOTAL(3,B$8:B144))</f>
        <v>137</v>
      </c>
      <c r="B144" s="106" t="str">
        <f>'Detailed Report'!O140</f>
        <v>Fuddruckers - New Maadi</v>
      </c>
      <c r="C144" s="107">
        <f>TRUNC('Detailed Report'!Q140,0)</f>
        <v>46027</v>
      </c>
      <c r="D144" s="108">
        <f>'Detailed Report'!P140</f>
        <v>3382974811</v>
      </c>
      <c r="E144" s="106" t="str">
        <f>'Detailed Report'!S140</f>
        <v>Successful</v>
      </c>
      <c r="F144" s="109">
        <f>IF(E144=$E$6,('Detailed Report'!Y140),IF(E144=$E$5,(0),0))</f>
        <v>470.98</v>
      </c>
      <c r="G144" s="106">
        <f>IF(E144=$E$6,('Detailed Report'!AQ140),IF(E144=$E$5,('Detailed Report'!AW140),0))</f>
        <v>413.14035000000001</v>
      </c>
      <c r="H144" s="106">
        <f>'Detailed Report'!AS140</f>
        <v>103.28509</v>
      </c>
      <c r="I144" s="106">
        <f>'Detailed Report'!AT140</f>
        <v>14.459912599999999</v>
      </c>
      <c r="J144" s="106">
        <f>'Detailed Report'!AO140</f>
        <v>8.2421500000000005</v>
      </c>
      <c r="K144" s="106">
        <f>'Detailed Report'!AP140</f>
        <v>1.1539010000000001</v>
      </c>
      <c r="L144" s="106">
        <f>'Detailed Report'!AU140/1.14</f>
        <v>23.67543859649123</v>
      </c>
      <c r="M144" s="106">
        <f>'Detailed Report'!AU140-L144</f>
        <v>3.3145614035087689</v>
      </c>
      <c r="N144" s="110">
        <f>'Detailed Report'!AW140</f>
        <v>316.84899999999999</v>
      </c>
      <c r="O144" s="111">
        <f t="shared" si="48"/>
        <v>96.291350000000023</v>
      </c>
      <c r="P144" s="110">
        <f>'Detailed Report'!AM140</f>
        <v>0</v>
      </c>
      <c r="Q144" s="110">
        <f>'Detailed Report'!AN140</f>
        <v>0</v>
      </c>
      <c r="R144" s="110">
        <f>'Detailed Report'!AU140/1.14</f>
        <v>23.67543859649123</v>
      </c>
      <c r="S144" s="110">
        <f>'Detailed Report'!AU140-'........... - Otlob'!R144</f>
        <v>3.3145614035087689</v>
      </c>
    </row>
    <row r="145" spans="1:19" ht="14.45" customHeight="1" x14ac:dyDescent="0.25">
      <c r="A145" s="105">
        <f>+IF(B145="","",SUBTOTAL(3,B$8:B145))</f>
        <v>138</v>
      </c>
      <c r="B145" s="106" t="str">
        <f>'Detailed Report'!O141</f>
        <v>Fuddruckers - Concord Plaza Mall</v>
      </c>
      <c r="C145" s="107">
        <f>TRUNC('Detailed Report'!Q141,0)</f>
        <v>46027</v>
      </c>
      <c r="D145" s="108">
        <f>'Detailed Report'!P141</f>
        <v>3382985178</v>
      </c>
      <c r="E145" s="106" t="str">
        <f>'Detailed Report'!S141</f>
        <v>Successful</v>
      </c>
      <c r="F145" s="109">
        <f>IF(E145=$E$6,('Detailed Report'!Y141),IF(E145=$E$5,(0),0))</f>
        <v>959.97</v>
      </c>
      <c r="G145" s="106">
        <f>IF(E145=$E$6,('Detailed Report'!AQ141),IF(E145=$E$5,('Detailed Report'!AW141),0))</f>
        <v>842.07894999999996</v>
      </c>
      <c r="H145" s="106">
        <f>'Detailed Report'!AS141</f>
        <v>210.51974000000001</v>
      </c>
      <c r="I145" s="106">
        <f>'Detailed Report'!AT141</f>
        <v>29.4727636</v>
      </c>
      <c r="J145" s="106">
        <f>'Detailed Report'!AO141</f>
        <v>16.799475000000001</v>
      </c>
      <c r="K145" s="106">
        <f>'Detailed Report'!AP141</f>
        <v>2.3519264999999998</v>
      </c>
      <c r="L145" s="106">
        <f>'Detailed Report'!AU141/1.14</f>
        <v>27.184210526315791</v>
      </c>
      <c r="M145" s="106">
        <f>'Detailed Report'!AU141-L145</f>
        <v>3.8057894736842073</v>
      </c>
      <c r="N145" s="110">
        <f>'Detailed Report'!AW141</f>
        <v>669.83600000000001</v>
      </c>
      <c r="O145" s="111">
        <f t="shared" si="48"/>
        <v>172.24294999999995</v>
      </c>
      <c r="P145" s="110">
        <f>'Detailed Report'!AM141</f>
        <v>0</v>
      </c>
      <c r="Q145" s="110">
        <f>'Detailed Report'!AN141</f>
        <v>0</v>
      </c>
      <c r="R145" s="110">
        <f>'Detailed Report'!AU141/1.14</f>
        <v>27.184210526315791</v>
      </c>
      <c r="S145" s="110">
        <f>'Detailed Report'!AU141-'........... - Otlob'!R145</f>
        <v>3.8057894736842073</v>
      </c>
    </row>
    <row r="146" spans="1:19" ht="14.45" customHeight="1" x14ac:dyDescent="0.25">
      <c r="A146" s="105">
        <f>+IF(B146="","",SUBTOTAL(3,B$8:B146))</f>
        <v>139</v>
      </c>
      <c r="B146" s="106" t="str">
        <f>'Detailed Report'!O142</f>
        <v>Fuddruckers - New Maadi</v>
      </c>
      <c r="C146" s="107">
        <f>TRUNC('Detailed Report'!Q142,0)</f>
        <v>46027</v>
      </c>
      <c r="D146" s="108">
        <f>'Detailed Report'!P142</f>
        <v>3383029360</v>
      </c>
      <c r="E146" s="106" t="str">
        <f>'Detailed Report'!S142</f>
        <v>Successful</v>
      </c>
      <c r="F146" s="109">
        <f>IF(E146=$E$6,('Detailed Report'!Y142),IF(E146=$E$5,(0),0))</f>
        <v>203.99</v>
      </c>
      <c r="G146" s="106">
        <f>IF(E146=$E$6,('Detailed Report'!AQ142),IF(E146=$E$5,('Detailed Report'!AW142),0))</f>
        <v>178.93860000000001</v>
      </c>
      <c r="H146" s="106">
        <f>'Detailed Report'!AS142</f>
        <v>44.734650000000002</v>
      </c>
      <c r="I146" s="106">
        <f>'Detailed Report'!AT142</f>
        <v>6.2628510000000004</v>
      </c>
      <c r="J146" s="106">
        <f>'Detailed Report'!AO142</f>
        <v>3.5698249999999998</v>
      </c>
      <c r="K146" s="106">
        <f>'Detailed Report'!AP142</f>
        <v>0.49977549999999998</v>
      </c>
      <c r="L146" s="106">
        <f>'Detailed Report'!AU142/1.14</f>
        <v>26.307017543859651</v>
      </c>
      <c r="M146" s="106">
        <f>'Detailed Report'!AU142-L146</f>
        <v>3.6829824561403477</v>
      </c>
      <c r="N146" s="110">
        <f>'Detailed Report'!AW142</f>
        <v>118.93300000000001</v>
      </c>
      <c r="O146" s="111">
        <f t="shared" si="48"/>
        <v>60.005600000000001</v>
      </c>
      <c r="P146" s="110">
        <f>'Detailed Report'!AM142</f>
        <v>0</v>
      </c>
      <c r="Q146" s="110">
        <f>'Detailed Report'!AN142</f>
        <v>0</v>
      </c>
      <c r="R146" s="110">
        <f>'Detailed Report'!AU142/1.14</f>
        <v>26.307017543859651</v>
      </c>
      <c r="S146" s="110">
        <f>'Detailed Report'!AU142-'........... - Otlob'!R146</f>
        <v>3.6829824561403477</v>
      </c>
    </row>
    <row r="147" spans="1:19" ht="14.45" customHeight="1" x14ac:dyDescent="0.25">
      <c r="A147" s="105">
        <f>+IF(B147="","",SUBTOTAL(3,B$8:B147))</f>
        <v>140</v>
      </c>
      <c r="B147" s="106" t="str">
        <f>'Detailed Report'!O143</f>
        <v>Fuddruckers - City Stars</v>
      </c>
      <c r="C147" s="107">
        <f>TRUNC('Detailed Report'!Q143,0)</f>
        <v>46027</v>
      </c>
      <c r="D147" s="108">
        <f>'Detailed Report'!P143</f>
        <v>3383088194</v>
      </c>
      <c r="E147" s="106" t="str">
        <f>'Detailed Report'!S143</f>
        <v>Successful</v>
      </c>
      <c r="F147" s="109">
        <f>IF(E147=$E$6,('Detailed Report'!Y143),IF(E147=$E$5,(0),0))</f>
        <v>400.99</v>
      </c>
      <c r="G147" s="106">
        <f>IF(E147=$E$6,('Detailed Report'!AQ143),IF(E147=$E$5,('Detailed Report'!AW143),0))</f>
        <v>351.74561</v>
      </c>
      <c r="H147" s="106">
        <f>'Detailed Report'!AS143</f>
        <v>87.936400000000006</v>
      </c>
      <c r="I147" s="106">
        <f>'Detailed Report'!AT143</f>
        <v>12.311095999999999</v>
      </c>
      <c r="J147" s="106">
        <f>'Detailed Report'!AO143</f>
        <v>7.0173249999999996</v>
      </c>
      <c r="K147" s="106">
        <f>'Detailed Report'!AP143</f>
        <v>0.98242549999999995</v>
      </c>
      <c r="L147" s="106">
        <f>'Detailed Report'!AU143/1.14</f>
        <v>24.55263157894737</v>
      </c>
      <c r="M147" s="106">
        <f>'Detailed Report'!AU143-L147</f>
        <v>3.4373684210526285</v>
      </c>
      <c r="N147" s="110">
        <f>'Detailed Report'!AW143</f>
        <v>264.75299999999999</v>
      </c>
      <c r="O147" s="111">
        <f t="shared" si="48"/>
        <v>86.992610000000013</v>
      </c>
      <c r="P147" s="110">
        <f>'Detailed Report'!AM143</f>
        <v>0</v>
      </c>
      <c r="Q147" s="110">
        <f>'Detailed Report'!AN143</f>
        <v>0</v>
      </c>
      <c r="R147" s="110">
        <f>'Detailed Report'!AU143/1.14</f>
        <v>24.55263157894737</v>
      </c>
      <c r="S147" s="110">
        <f>'Detailed Report'!AU143-'........... - Otlob'!R147</f>
        <v>3.4373684210526285</v>
      </c>
    </row>
    <row r="148" spans="1:19" ht="14.45" customHeight="1" x14ac:dyDescent="0.25">
      <c r="A148" s="105">
        <f>+IF(B148="","",SUBTOTAL(3,B$8:B148))</f>
        <v>141</v>
      </c>
      <c r="B148" s="106" t="str">
        <f>'Detailed Report'!O144</f>
        <v>Fuddruckers - Concord Plaza Mall</v>
      </c>
      <c r="C148" s="107">
        <f>TRUNC('Detailed Report'!Q144,0)</f>
        <v>46027</v>
      </c>
      <c r="D148" s="108">
        <f>'Detailed Report'!P144</f>
        <v>3383136624</v>
      </c>
      <c r="E148" s="106" t="str">
        <f>'Detailed Report'!S144</f>
        <v>Successful</v>
      </c>
      <c r="F148" s="109">
        <f>IF(E148=$E$6,('Detailed Report'!Y144),IF(E148=$E$5,(0),0))</f>
        <v>995.96</v>
      </c>
      <c r="G148" s="106">
        <f>IF(E148=$E$6,('Detailed Report'!AQ144),IF(E148=$E$5,('Detailed Report'!AW144),0))</f>
        <v>873.64912000000004</v>
      </c>
      <c r="H148" s="106">
        <f>'Detailed Report'!AS144</f>
        <v>218.41228000000001</v>
      </c>
      <c r="I148" s="106">
        <f>'Detailed Report'!AT144</f>
        <v>30.577719200000001</v>
      </c>
      <c r="J148" s="106">
        <f>'Detailed Report'!AO144</f>
        <v>17.429298249999999</v>
      </c>
      <c r="K148" s="106">
        <f>'Detailed Report'!AP144</f>
        <v>2.4401017550000001</v>
      </c>
      <c r="L148" s="106">
        <f>'Detailed Report'!AU144/1.14</f>
        <v>0</v>
      </c>
      <c r="M148" s="106">
        <f>'Detailed Report'!AU144-L148</f>
        <v>0</v>
      </c>
      <c r="N148" s="110">
        <f>'Detailed Report'!AW144</f>
        <v>727.101</v>
      </c>
      <c r="O148" s="111">
        <f t="shared" si="48"/>
        <v>146.54812000000004</v>
      </c>
      <c r="P148" s="110">
        <f>'Detailed Report'!AM144</f>
        <v>0</v>
      </c>
      <c r="Q148" s="110">
        <f>'Detailed Report'!AN144</f>
        <v>0</v>
      </c>
      <c r="R148" s="110">
        <f>'Detailed Report'!AU144/1.14</f>
        <v>0</v>
      </c>
      <c r="S148" s="110">
        <f>'Detailed Report'!AU144-'........... - Otlob'!R148</f>
        <v>0</v>
      </c>
    </row>
    <row r="149" spans="1:19" ht="14.45" customHeight="1" x14ac:dyDescent="0.25">
      <c r="A149" s="105">
        <f>+IF(B149="","",SUBTOTAL(3,B$8:B149))</f>
        <v>142</v>
      </c>
      <c r="B149" s="106" t="str">
        <f>'Detailed Report'!O145</f>
        <v>Fuddruckers - New Maadi</v>
      </c>
      <c r="C149" s="107">
        <f>TRUNC('Detailed Report'!Q145,0)</f>
        <v>46027</v>
      </c>
      <c r="D149" s="108">
        <f>'Detailed Report'!P145</f>
        <v>3383140032</v>
      </c>
      <c r="E149" s="106" t="str">
        <f>'Detailed Report'!S145</f>
        <v>Successful</v>
      </c>
      <c r="F149" s="109">
        <f>IF(E149=$E$6,('Detailed Report'!Y145),IF(E149=$E$5,(0),0))</f>
        <v>459.67</v>
      </c>
      <c r="G149" s="106">
        <f>IF(E149=$E$6,('Detailed Report'!AQ145),IF(E149=$E$5,('Detailed Report'!AW145),0))</f>
        <v>403.21929999999998</v>
      </c>
      <c r="H149" s="106">
        <f>'Detailed Report'!AS145</f>
        <v>100.80483</v>
      </c>
      <c r="I149" s="106">
        <f>'Detailed Report'!AT145</f>
        <v>14.112676199999999</v>
      </c>
      <c r="J149" s="106">
        <f>'Detailed Report'!AO145</f>
        <v>8.0442250000000008</v>
      </c>
      <c r="K149" s="106">
        <f>'Detailed Report'!AP145</f>
        <v>1.1261915</v>
      </c>
      <c r="L149" s="106">
        <f>'Detailed Report'!AU145/1.14</f>
        <v>25.42982456140351</v>
      </c>
      <c r="M149" s="106">
        <f>'Detailed Report'!AU145-L149</f>
        <v>3.5601754385964881</v>
      </c>
      <c r="N149" s="110">
        <f>'Detailed Report'!AW145</f>
        <v>306.59199999999998</v>
      </c>
      <c r="O149" s="111">
        <f t="shared" si="48"/>
        <v>96.627299999999991</v>
      </c>
      <c r="P149" s="110">
        <f>'Detailed Report'!AM145</f>
        <v>0</v>
      </c>
      <c r="Q149" s="110">
        <f>'Detailed Report'!AN145</f>
        <v>0</v>
      </c>
      <c r="R149" s="110">
        <f>'Detailed Report'!AU145/1.14</f>
        <v>25.42982456140351</v>
      </c>
      <c r="S149" s="110">
        <f>'Detailed Report'!AU145-'........... - Otlob'!R149</f>
        <v>3.5601754385964881</v>
      </c>
    </row>
    <row r="150" spans="1:19" ht="14.45" customHeight="1" x14ac:dyDescent="0.25">
      <c r="A150" s="105">
        <f>+IF(B150="","",SUBTOTAL(3,B$8:B150))</f>
        <v>143</v>
      </c>
      <c r="B150" s="106" t="str">
        <f>'Detailed Report'!O146</f>
        <v>Fuddruckers - Concord Plaza Mall</v>
      </c>
      <c r="C150" s="107">
        <f>TRUNC('Detailed Report'!Q146,0)</f>
        <v>46027</v>
      </c>
      <c r="D150" s="108">
        <f>'Detailed Report'!P146</f>
        <v>3383141247</v>
      </c>
      <c r="E150" s="106" t="str">
        <f>'Detailed Report'!S146</f>
        <v>Successful</v>
      </c>
      <c r="F150" s="109">
        <f>IF(E150=$E$6,('Detailed Report'!Y146),IF(E150=$E$5,(0),0))</f>
        <v>406.67</v>
      </c>
      <c r="G150" s="106">
        <f>IF(E150=$E$6,('Detailed Report'!AQ146),IF(E150=$E$5,('Detailed Report'!AW146),0))</f>
        <v>356.72807</v>
      </c>
      <c r="H150" s="106">
        <f>'Detailed Report'!AS146</f>
        <v>89.182019999999994</v>
      </c>
      <c r="I150" s="106">
        <f>'Detailed Report'!AT146</f>
        <v>12.4854828</v>
      </c>
      <c r="J150" s="106">
        <f>'Detailed Report'!AO146</f>
        <v>7.1167249999999997</v>
      </c>
      <c r="K150" s="106">
        <f>'Detailed Report'!AP146</f>
        <v>0.99634149999999999</v>
      </c>
      <c r="L150" s="106">
        <f>'Detailed Report'!AU146/1.14</f>
        <v>30.692982456140356</v>
      </c>
      <c r="M150" s="106">
        <f>'Detailed Report'!AU146-L150</f>
        <v>4.2970175438596456</v>
      </c>
      <c r="N150" s="110">
        <f>'Detailed Report'!AW146</f>
        <v>261.899</v>
      </c>
      <c r="O150" s="111">
        <f t="shared" si="48"/>
        <v>94.829070000000002</v>
      </c>
      <c r="P150" s="110">
        <f>'Detailed Report'!AM146</f>
        <v>0</v>
      </c>
      <c r="Q150" s="110">
        <f>'Detailed Report'!AN146</f>
        <v>0</v>
      </c>
      <c r="R150" s="110">
        <f>'Detailed Report'!AU146/1.14</f>
        <v>30.692982456140356</v>
      </c>
      <c r="S150" s="110">
        <f>'Detailed Report'!AU146-'........... - Otlob'!R150</f>
        <v>4.2970175438596456</v>
      </c>
    </row>
    <row r="151" spans="1:19" ht="14.45" customHeight="1" x14ac:dyDescent="0.25">
      <c r="A151" s="105">
        <f>+IF(B151="","",SUBTOTAL(3,B$8:B151))</f>
        <v>144</v>
      </c>
      <c r="B151" s="106" t="str">
        <f>'Detailed Report'!O147</f>
        <v>Fuddruckers - Concord Plaza Mall</v>
      </c>
      <c r="C151" s="107">
        <f>TRUNC('Detailed Report'!Q147,0)</f>
        <v>46027</v>
      </c>
      <c r="D151" s="108">
        <f>'Detailed Report'!P147</f>
        <v>3383198015</v>
      </c>
      <c r="E151" s="106" t="str">
        <f>'Detailed Report'!S147</f>
        <v>Successful</v>
      </c>
      <c r="F151" s="109">
        <f>IF(E151=$E$6,('Detailed Report'!Y147),IF(E151=$E$5,(0),0))</f>
        <v>1098.45</v>
      </c>
      <c r="G151" s="106">
        <f>IF(E151=$E$6,('Detailed Report'!AQ147),IF(E151=$E$5,('Detailed Report'!AW147),0))</f>
        <v>963.55263000000002</v>
      </c>
      <c r="H151" s="106">
        <f>'Detailed Report'!AS147</f>
        <v>240.88816</v>
      </c>
      <c r="I151" s="106">
        <f>'Detailed Report'!AT147</f>
        <v>33.724342399999998</v>
      </c>
      <c r="J151" s="106">
        <f>'Detailed Report'!AO147</f>
        <v>19.222876750000001</v>
      </c>
      <c r="K151" s="106">
        <f>'Detailed Report'!AP147</f>
        <v>2.691202745</v>
      </c>
      <c r="L151" s="106">
        <f>'Detailed Report'!AU147/1.14</f>
        <v>0</v>
      </c>
      <c r="M151" s="106">
        <f>'Detailed Report'!AU147-L151</f>
        <v>0</v>
      </c>
      <c r="N151" s="110">
        <f>'Detailed Report'!AW147</f>
        <v>801.923</v>
      </c>
      <c r="O151" s="111">
        <f t="shared" si="48"/>
        <v>161.62963000000002</v>
      </c>
      <c r="P151" s="110">
        <f>'Detailed Report'!AM147</f>
        <v>0</v>
      </c>
      <c r="Q151" s="110">
        <f>'Detailed Report'!AN147</f>
        <v>0</v>
      </c>
      <c r="R151" s="110">
        <f>'Detailed Report'!AU147/1.14</f>
        <v>0</v>
      </c>
      <c r="S151" s="110">
        <f>'Detailed Report'!AU147-'........... - Otlob'!R151</f>
        <v>0</v>
      </c>
    </row>
    <row r="152" spans="1:19" ht="14.45" customHeight="1" x14ac:dyDescent="0.25">
      <c r="A152" s="105">
        <f>+IF(B152="","",SUBTOTAL(3,B$8:B152))</f>
        <v>145</v>
      </c>
      <c r="B152" s="106" t="str">
        <f>'Detailed Report'!O148</f>
        <v>Fuddruckers - New Maadi</v>
      </c>
      <c r="C152" s="107">
        <f>TRUNC('Detailed Report'!Q148,0)</f>
        <v>46027</v>
      </c>
      <c r="D152" s="108">
        <f>'Detailed Report'!P148</f>
        <v>3383226142</v>
      </c>
      <c r="E152" s="106" t="str">
        <f>'Detailed Report'!S148</f>
        <v>Successful</v>
      </c>
      <c r="F152" s="109">
        <f>IF(E152=$E$6,('Detailed Report'!Y148),IF(E152=$E$5,(0),0))</f>
        <v>707.96</v>
      </c>
      <c r="G152" s="106">
        <f>IF(E152=$E$6,('Detailed Report'!AQ148),IF(E152=$E$5,('Detailed Report'!AW148),0))</f>
        <v>621.01754000000005</v>
      </c>
      <c r="H152" s="106">
        <f>'Detailed Report'!AS148</f>
        <v>155.25439</v>
      </c>
      <c r="I152" s="106">
        <f>'Detailed Report'!AT148</f>
        <v>21.735614600000002</v>
      </c>
      <c r="J152" s="106">
        <f>'Detailed Report'!AO148</f>
        <v>12.3893</v>
      </c>
      <c r="K152" s="106">
        <f>'Detailed Report'!AP148</f>
        <v>1.734502</v>
      </c>
      <c r="L152" s="106">
        <f>'Detailed Report'!AU148/1.14</f>
        <v>27.184210526315791</v>
      </c>
      <c r="M152" s="106">
        <f>'Detailed Report'!AU148-L152</f>
        <v>3.8057894736842073</v>
      </c>
      <c r="N152" s="110">
        <f>'Detailed Report'!AW148</f>
        <v>485.85599999999999</v>
      </c>
      <c r="O152" s="111">
        <f t="shared" si="48"/>
        <v>135.16154000000006</v>
      </c>
      <c r="P152" s="110">
        <f>'Detailed Report'!AM148</f>
        <v>0</v>
      </c>
      <c r="Q152" s="110">
        <f>'Detailed Report'!AN148</f>
        <v>0</v>
      </c>
      <c r="R152" s="110">
        <f>'Detailed Report'!AU148/1.14</f>
        <v>27.184210526315791</v>
      </c>
      <c r="S152" s="110">
        <f>'Detailed Report'!AU148-'........... - Otlob'!R152</f>
        <v>3.8057894736842073</v>
      </c>
    </row>
    <row r="153" spans="1:19" ht="14.45" customHeight="1" x14ac:dyDescent="0.25">
      <c r="A153" s="105">
        <f>+IF(B153="","",SUBTOTAL(3,B$8:B153))</f>
        <v>146</v>
      </c>
      <c r="B153" s="106" t="str">
        <f>'Detailed Report'!O149</f>
        <v>Fuddruckers - New Maadi</v>
      </c>
      <c r="C153" s="107">
        <f>TRUNC('Detailed Report'!Q149,0)</f>
        <v>46027</v>
      </c>
      <c r="D153" s="108">
        <f>'Detailed Report'!P149</f>
        <v>3383258207</v>
      </c>
      <c r="E153" s="106" t="str">
        <f>'Detailed Report'!S149</f>
        <v>Successful</v>
      </c>
      <c r="F153" s="109">
        <f>IF(E153=$E$6,('Detailed Report'!Y149),IF(E153=$E$5,(0),0))</f>
        <v>362.99</v>
      </c>
      <c r="G153" s="106">
        <f>IF(E153=$E$6,('Detailed Report'!AQ149),IF(E153=$E$5,('Detailed Report'!AW149),0))</f>
        <v>318.41228000000001</v>
      </c>
      <c r="H153" s="106">
        <f>'Detailed Report'!AS149</f>
        <v>79.603070000000002</v>
      </c>
      <c r="I153" s="106">
        <f>'Detailed Report'!AT149</f>
        <v>11.144429799999999</v>
      </c>
      <c r="J153" s="106">
        <f>'Detailed Report'!AO149</f>
        <v>6.3523250000000004</v>
      </c>
      <c r="K153" s="106">
        <f>'Detailed Report'!AP149</f>
        <v>0.88932549999999999</v>
      </c>
      <c r="L153" s="106">
        <f>'Detailed Report'!AU149/1.14</f>
        <v>23.67543859649123</v>
      </c>
      <c r="M153" s="106">
        <f>'Detailed Report'!AU149-L153</f>
        <v>3.3145614035087689</v>
      </c>
      <c r="N153" s="110">
        <f>'Detailed Report'!AW149</f>
        <v>238.011</v>
      </c>
      <c r="O153" s="111">
        <f t="shared" si="48"/>
        <v>80.401280000000014</v>
      </c>
      <c r="P153" s="110">
        <f>'Detailed Report'!AM149</f>
        <v>0</v>
      </c>
      <c r="Q153" s="110">
        <f>'Detailed Report'!AN149</f>
        <v>0</v>
      </c>
      <c r="R153" s="110">
        <f>'Detailed Report'!AU149/1.14</f>
        <v>23.67543859649123</v>
      </c>
      <c r="S153" s="110">
        <f>'Detailed Report'!AU149-'........... - Otlob'!R153</f>
        <v>3.3145614035087689</v>
      </c>
    </row>
    <row r="154" spans="1:19" ht="14.45" customHeight="1" x14ac:dyDescent="0.25">
      <c r="A154" s="105">
        <f>+IF(B154="","",SUBTOTAL(3,B$8:B154))</f>
        <v>147</v>
      </c>
      <c r="B154" s="106" t="str">
        <f>'Detailed Report'!O150</f>
        <v>Fuddruckers - Concord Plaza Mall</v>
      </c>
      <c r="C154" s="107">
        <f>TRUNC('Detailed Report'!Q150,0)</f>
        <v>46027</v>
      </c>
      <c r="D154" s="108">
        <f>'Detailed Report'!P150</f>
        <v>3383324807</v>
      </c>
      <c r="E154" s="106" t="str">
        <f>'Detailed Report'!S150</f>
        <v>Successful</v>
      </c>
      <c r="F154" s="109">
        <f>IF(E154=$E$6,('Detailed Report'!Y150),IF(E154=$E$5,(0),0))</f>
        <v>401.86</v>
      </c>
      <c r="G154" s="106">
        <f>IF(E154=$E$6,('Detailed Report'!AQ150),IF(E154=$E$5,('Detailed Report'!AW150),0))</f>
        <v>352.50877000000003</v>
      </c>
      <c r="H154" s="106">
        <f>'Detailed Report'!AS150</f>
        <v>88.127189999999999</v>
      </c>
      <c r="I154" s="106">
        <f>'Detailed Report'!AT150</f>
        <v>12.3378066</v>
      </c>
      <c r="J154" s="106">
        <f>'Detailed Report'!AO150</f>
        <v>7.0325499999999996</v>
      </c>
      <c r="K154" s="106">
        <f>'Detailed Report'!AP150</f>
        <v>0.98455700000000002</v>
      </c>
      <c r="L154" s="106">
        <f>'Detailed Report'!AU150/1.14</f>
        <v>27.184210526315791</v>
      </c>
      <c r="M154" s="106">
        <f>'Detailed Report'!AU150-L154</f>
        <v>3.8057894736842073</v>
      </c>
      <c r="N154" s="110">
        <f>'Detailed Report'!AW150</f>
        <v>262.38799999999998</v>
      </c>
      <c r="O154" s="111">
        <f t="shared" si="48"/>
        <v>90.12077000000005</v>
      </c>
      <c r="P154" s="110">
        <f>'Detailed Report'!AM150</f>
        <v>0</v>
      </c>
      <c r="Q154" s="110">
        <f>'Detailed Report'!AN150</f>
        <v>0</v>
      </c>
      <c r="R154" s="110">
        <f>'Detailed Report'!AU150/1.14</f>
        <v>27.184210526315791</v>
      </c>
      <c r="S154" s="110">
        <f>'Detailed Report'!AU150-'........... - Otlob'!R154</f>
        <v>3.8057894736842073</v>
      </c>
    </row>
    <row r="155" spans="1:19" ht="14.45" customHeight="1" x14ac:dyDescent="0.25">
      <c r="A155" s="105">
        <f>+IF(B155="","",SUBTOTAL(3,B$8:B155))</f>
        <v>148</v>
      </c>
      <c r="B155" s="106" t="str">
        <f>'Detailed Report'!O151</f>
        <v>Fuddruckers - New Maadi</v>
      </c>
      <c r="C155" s="107">
        <f>TRUNC('Detailed Report'!Q151,0)</f>
        <v>46027</v>
      </c>
      <c r="D155" s="108">
        <f>'Detailed Report'!P151</f>
        <v>3383349468</v>
      </c>
      <c r="E155" s="106" t="str">
        <f>'Detailed Report'!S151</f>
        <v>Successful</v>
      </c>
      <c r="F155" s="109">
        <f>IF(E155=$E$6,('Detailed Report'!Y151),IF(E155=$E$5,(0),0))</f>
        <v>319.99</v>
      </c>
      <c r="G155" s="106">
        <f>IF(E155=$E$6,('Detailed Report'!AQ151),IF(E155=$E$5,('Detailed Report'!AW151),0))</f>
        <v>280.69297999999998</v>
      </c>
      <c r="H155" s="106">
        <f>'Detailed Report'!AS151</f>
        <v>70.173249999999996</v>
      </c>
      <c r="I155" s="106">
        <f>'Detailed Report'!AT151</f>
        <v>9.8242550000000008</v>
      </c>
      <c r="J155" s="106">
        <f>'Detailed Report'!AO151</f>
        <v>0</v>
      </c>
      <c r="K155" s="106">
        <f>'Detailed Report'!AP151</f>
        <v>0</v>
      </c>
      <c r="L155" s="106">
        <f>'Detailed Report'!AU151/1.14</f>
        <v>23.67543859649123</v>
      </c>
      <c r="M155" s="106">
        <f>'Detailed Report'!AU151-L155</f>
        <v>3.3145614035087689</v>
      </c>
      <c r="N155" s="110">
        <f>'Detailed Report'!AW151</f>
        <v>178.80199999999999</v>
      </c>
      <c r="O155" s="111">
        <f t="shared" si="48"/>
        <v>101.89097999999998</v>
      </c>
      <c r="P155" s="110">
        <f>'Detailed Report'!AM151</f>
        <v>30</v>
      </c>
      <c r="Q155" s="110">
        <f>'Detailed Report'!AN151</f>
        <v>4.2</v>
      </c>
      <c r="R155" s="110">
        <f>'Detailed Report'!AU151/1.14</f>
        <v>23.67543859649123</v>
      </c>
      <c r="S155" s="110">
        <f>'Detailed Report'!AU151-'........... - Otlob'!R155</f>
        <v>3.3145614035087689</v>
      </c>
    </row>
    <row r="156" spans="1:19" ht="14.45" customHeight="1" x14ac:dyDescent="0.25">
      <c r="A156" s="105">
        <f>+IF(B156="","",SUBTOTAL(3,B$8:B156))</f>
        <v>149</v>
      </c>
      <c r="B156" s="106" t="str">
        <f>'Detailed Report'!O152</f>
        <v>Fuddruckers - Concord Plaza Mall</v>
      </c>
      <c r="C156" s="107">
        <f>TRUNC('Detailed Report'!Q152,0)</f>
        <v>46027</v>
      </c>
      <c r="D156" s="108">
        <f>'Detailed Report'!P152</f>
        <v>3383370383</v>
      </c>
      <c r="E156" s="106" t="str">
        <f>'Detailed Report'!S152</f>
        <v>Successful</v>
      </c>
      <c r="F156" s="109">
        <f>IF(E156=$E$6,('Detailed Report'!Y152),IF(E156=$E$5,(0),0))</f>
        <v>592.98</v>
      </c>
      <c r="G156" s="106">
        <f>IF(E156=$E$6,('Detailed Report'!AQ152),IF(E156=$E$5,('Detailed Report'!AW152),0))</f>
        <v>520.15788999999995</v>
      </c>
      <c r="H156" s="106">
        <f>'Detailed Report'!AS152</f>
        <v>130.03946999999999</v>
      </c>
      <c r="I156" s="106">
        <f>'Detailed Report'!AT152</f>
        <v>18.2055258</v>
      </c>
      <c r="J156" s="106">
        <f>'Detailed Report'!AO152</f>
        <v>10.37715</v>
      </c>
      <c r="K156" s="106">
        <f>'Detailed Report'!AP152</f>
        <v>1.452801</v>
      </c>
      <c r="L156" s="106">
        <f>'Detailed Report'!AU152/1.14</f>
        <v>29.815789473684216</v>
      </c>
      <c r="M156" s="106">
        <f>'Detailed Report'!AU152-L156</f>
        <v>4.174210526315786</v>
      </c>
      <c r="N156" s="110">
        <f>'Detailed Report'!AW152</f>
        <v>398.91500000000002</v>
      </c>
      <c r="O156" s="111">
        <f t="shared" si="48"/>
        <v>121.24288999999993</v>
      </c>
      <c r="P156" s="110">
        <f>'Detailed Report'!AM152</f>
        <v>0</v>
      </c>
      <c r="Q156" s="110">
        <f>'Detailed Report'!AN152</f>
        <v>0</v>
      </c>
      <c r="R156" s="110">
        <f>'Detailed Report'!AU152/1.14</f>
        <v>29.815789473684216</v>
      </c>
      <c r="S156" s="110">
        <f>'Detailed Report'!AU152-'........... - Otlob'!R156</f>
        <v>4.174210526315786</v>
      </c>
    </row>
    <row r="157" spans="1:19" ht="14.45" customHeight="1" x14ac:dyDescent="0.25">
      <c r="A157" s="105">
        <f>+IF(B157="","",SUBTOTAL(3,B$8:B157))</f>
        <v>150</v>
      </c>
      <c r="B157" s="106" t="str">
        <f>'Detailed Report'!O153</f>
        <v>Fuddruckers - New Maadi</v>
      </c>
      <c r="C157" s="107">
        <f>TRUNC('Detailed Report'!Q153,0)</f>
        <v>46027</v>
      </c>
      <c r="D157" s="108">
        <f>'Detailed Report'!P153</f>
        <v>3383391973</v>
      </c>
      <c r="E157" s="106" t="str">
        <f>'Detailed Report'!S153</f>
        <v>Successful</v>
      </c>
      <c r="F157" s="109">
        <f>IF(E157=$E$6,('Detailed Report'!Y153),IF(E157=$E$5,(0),0))</f>
        <v>266.58</v>
      </c>
      <c r="G157" s="106">
        <f>IF(E157=$E$6,('Detailed Report'!AQ153),IF(E157=$E$5,('Detailed Report'!AW153),0))</f>
        <v>233.84210999999999</v>
      </c>
      <c r="H157" s="106">
        <f>'Detailed Report'!AS153</f>
        <v>58.460529999999999</v>
      </c>
      <c r="I157" s="106">
        <f>'Detailed Report'!AT153</f>
        <v>8.1844742000000004</v>
      </c>
      <c r="J157" s="106">
        <f>'Detailed Report'!AO153</f>
        <v>4.6651499999999997</v>
      </c>
      <c r="K157" s="106">
        <f>'Detailed Report'!AP153</f>
        <v>0.65312099999999995</v>
      </c>
      <c r="L157" s="106">
        <f>'Detailed Report'!AU153/1.14</f>
        <v>25.42982456140351</v>
      </c>
      <c r="M157" s="106">
        <f>'Detailed Report'!AU153-L157</f>
        <v>3.5601754385964881</v>
      </c>
      <c r="N157" s="110">
        <f>'Detailed Report'!AW153</f>
        <v>165.62700000000001</v>
      </c>
      <c r="O157" s="111">
        <f t="shared" si="48"/>
        <v>68.215109999999981</v>
      </c>
      <c r="P157" s="110">
        <f>'Detailed Report'!AM153</f>
        <v>0</v>
      </c>
      <c r="Q157" s="110">
        <f>'Detailed Report'!AN153</f>
        <v>0</v>
      </c>
      <c r="R157" s="110">
        <f>'Detailed Report'!AU153/1.14</f>
        <v>25.42982456140351</v>
      </c>
      <c r="S157" s="110">
        <f>'Detailed Report'!AU153-'........... - Otlob'!R157</f>
        <v>3.5601754385964881</v>
      </c>
    </row>
    <row r="158" spans="1:19" ht="14.45" customHeight="1" x14ac:dyDescent="0.25">
      <c r="A158" s="105">
        <f>+IF(B158="","",SUBTOTAL(3,B$8:B158))</f>
        <v>151</v>
      </c>
      <c r="B158" s="106" t="str">
        <f>'Detailed Report'!O154</f>
        <v>Fuddruckers - Concord Plaza Mall</v>
      </c>
      <c r="C158" s="107">
        <f>TRUNC('Detailed Report'!Q154,0)</f>
        <v>46027</v>
      </c>
      <c r="D158" s="108">
        <f>'Detailed Report'!P154</f>
        <v>3383437441</v>
      </c>
      <c r="E158" s="106" t="str">
        <f>'Detailed Report'!S154</f>
        <v>Successful</v>
      </c>
      <c r="F158" s="109">
        <f>IF(E158=$E$6,('Detailed Report'!Y154),IF(E158=$E$5,(0),0))</f>
        <v>367.67</v>
      </c>
      <c r="G158" s="106">
        <f>IF(E158=$E$6,('Detailed Report'!AQ154),IF(E158=$E$5,('Detailed Report'!AW154),0))</f>
        <v>322.51754</v>
      </c>
      <c r="H158" s="106">
        <f>'Detailed Report'!AS154</f>
        <v>80.629390000000001</v>
      </c>
      <c r="I158" s="106">
        <f>'Detailed Report'!AT154</f>
        <v>11.2881146</v>
      </c>
      <c r="J158" s="106">
        <f>'Detailed Report'!AO154</f>
        <v>0</v>
      </c>
      <c r="K158" s="106">
        <f>'Detailed Report'!AP154</f>
        <v>0</v>
      </c>
      <c r="L158" s="106">
        <f>'Detailed Report'!AU154/1.14</f>
        <v>0</v>
      </c>
      <c r="M158" s="106">
        <f>'Detailed Report'!AU154-L158</f>
        <v>0</v>
      </c>
      <c r="N158" s="110">
        <f>'Detailed Report'!AW154</f>
        <v>275.75200000000001</v>
      </c>
      <c r="O158" s="111">
        <f t="shared" si="48"/>
        <v>46.765539999999987</v>
      </c>
      <c r="P158" s="110">
        <f>'Detailed Report'!AM154</f>
        <v>0</v>
      </c>
      <c r="Q158" s="110">
        <f>'Detailed Report'!AN154</f>
        <v>0</v>
      </c>
      <c r="R158" s="110">
        <f>'Detailed Report'!AU154/1.14</f>
        <v>0</v>
      </c>
      <c r="S158" s="110">
        <f>'Detailed Report'!AU154-'........... - Otlob'!R158</f>
        <v>0</v>
      </c>
    </row>
    <row r="159" spans="1:19" ht="14.45" customHeight="1" x14ac:dyDescent="0.25">
      <c r="A159" s="105">
        <f>+IF(B159="","",SUBTOTAL(3,B$8:B159))</f>
        <v>152</v>
      </c>
      <c r="B159" s="106" t="str">
        <f>'Detailed Report'!O155</f>
        <v>Fuddruckers - City Stars</v>
      </c>
      <c r="C159" s="107">
        <f>TRUNC('Detailed Report'!Q155,0)</f>
        <v>46027</v>
      </c>
      <c r="D159" s="108">
        <f>'Detailed Report'!P155</f>
        <v>3383561811</v>
      </c>
      <c r="E159" s="106" t="str">
        <f>'Detailed Report'!S155</f>
        <v>Successful</v>
      </c>
      <c r="F159" s="109">
        <f>IF(E159=$E$6,('Detailed Report'!Y155),IF(E159=$E$5,(0),0))</f>
        <v>554.99</v>
      </c>
      <c r="G159" s="106">
        <f>IF(E159=$E$6,('Detailed Report'!AQ155),IF(E159=$E$5,('Detailed Report'!AW155),0))</f>
        <v>486.83332999999999</v>
      </c>
      <c r="H159" s="106">
        <f>'Detailed Report'!AS155</f>
        <v>121.70833</v>
      </c>
      <c r="I159" s="106">
        <f>'Detailed Report'!AT155</f>
        <v>17.0391662</v>
      </c>
      <c r="J159" s="106">
        <f>'Detailed Report'!AO155</f>
        <v>0</v>
      </c>
      <c r="K159" s="106">
        <f>'Detailed Report'!AP155</f>
        <v>0</v>
      </c>
      <c r="L159" s="106">
        <f>'Detailed Report'!AU155/1.14</f>
        <v>0</v>
      </c>
      <c r="M159" s="106">
        <f>'Detailed Report'!AU155-L159</f>
        <v>0</v>
      </c>
      <c r="N159" s="110">
        <f>'Detailed Report'!AW155</f>
        <v>382.04300000000001</v>
      </c>
      <c r="O159" s="111">
        <f t="shared" si="48"/>
        <v>104.79032999999998</v>
      </c>
      <c r="P159" s="110">
        <f>'Detailed Report'!AM155</f>
        <v>30</v>
      </c>
      <c r="Q159" s="110">
        <f>'Detailed Report'!AN155</f>
        <v>4.2</v>
      </c>
      <c r="R159" s="110">
        <f>'Detailed Report'!AU155/1.14</f>
        <v>0</v>
      </c>
      <c r="S159" s="110">
        <f>'Detailed Report'!AU155-'........... - Otlob'!R159</f>
        <v>0</v>
      </c>
    </row>
    <row r="160" spans="1:19" ht="14.45" customHeight="1" x14ac:dyDescent="0.25">
      <c r="A160" s="105">
        <f>+IF(B160="","",SUBTOTAL(3,B$8:B160))</f>
        <v>153</v>
      </c>
      <c r="B160" s="106" t="str">
        <f>'Detailed Report'!O156</f>
        <v>Fuddruckers - New Maadi</v>
      </c>
      <c r="C160" s="107">
        <f>TRUNC('Detailed Report'!Q156,0)</f>
        <v>46027</v>
      </c>
      <c r="D160" s="108">
        <f>'Detailed Report'!P156</f>
        <v>3383571653</v>
      </c>
      <c r="E160" s="106" t="str">
        <f>'Detailed Report'!S156</f>
        <v>Successful</v>
      </c>
      <c r="F160" s="109">
        <f>IF(E160=$E$6,('Detailed Report'!Y156),IF(E160=$E$5,(0),0))</f>
        <v>453.99</v>
      </c>
      <c r="G160" s="106">
        <f>IF(E160=$E$6,('Detailed Report'!AQ156),IF(E160=$E$5,('Detailed Report'!AW156),0))</f>
        <v>398.23683999999997</v>
      </c>
      <c r="H160" s="106">
        <f>'Detailed Report'!AS156</f>
        <v>99.559209999999993</v>
      </c>
      <c r="I160" s="106">
        <f>'Detailed Report'!AT156</f>
        <v>13.9382894</v>
      </c>
      <c r="J160" s="106">
        <f>'Detailed Report'!AO156</f>
        <v>7.9448249999999998</v>
      </c>
      <c r="K160" s="106">
        <f>'Detailed Report'!AP156</f>
        <v>1.1122755</v>
      </c>
      <c r="L160" s="106">
        <f>'Detailed Report'!AU156/1.14</f>
        <v>0</v>
      </c>
      <c r="M160" s="106">
        <f>'Detailed Report'!AU156-L160</f>
        <v>0</v>
      </c>
      <c r="N160" s="110">
        <f>'Detailed Report'!AW156</f>
        <v>331.435</v>
      </c>
      <c r="O160" s="111">
        <f t="shared" si="48"/>
        <v>66.80183999999997</v>
      </c>
      <c r="P160" s="110">
        <f>'Detailed Report'!AM156</f>
        <v>0</v>
      </c>
      <c r="Q160" s="110">
        <f>'Detailed Report'!AN156</f>
        <v>0</v>
      </c>
      <c r="R160" s="110">
        <f>'Detailed Report'!AU156/1.14</f>
        <v>0</v>
      </c>
      <c r="S160" s="110">
        <f>'Detailed Report'!AU156-'........... - Otlob'!R160</f>
        <v>0</v>
      </c>
    </row>
    <row r="161" spans="1:19" ht="14.45" customHeight="1" x14ac:dyDescent="0.25">
      <c r="A161" s="105">
        <f>+IF(B161="","",SUBTOTAL(3,B$8:B161))</f>
        <v>154</v>
      </c>
      <c r="B161" s="106" t="str">
        <f>'Detailed Report'!O157</f>
        <v>Fuddruckers - Concord Plaza Mall</v>
      </c>
      <c r="C161" s="107">
        <f>TRUNC('Detailed Report'!Q157,0)</f>
        <v>46028</v>
      </c>
      <c r="D161" s="108">
        <f>'Detailed Report'!P157</f>
        <v>3384247904</v>
      </c>
      <c r="E161" s="106" t="str">
        <f>'Detailed Report'!S157</f>
        <v>Successful</v>
      </c>
      <c r="F161" s="109">
        <f>IF(E161=$E$6,('Detailed Report'!Y157),IF(E161=$E$5,(0),0))</f>
        <v>443.67</v>
      </c>
      <c r="G161" s="106">
        <f>IF(E161=$E$6,('Detailed Report'!AQ157),IF(E161=$E$5,('Detailed Report'!AW157),0))</f>
        <v>389.18421000000001</v>
      </c>
      <c r="H161" s="106">
        <f>'Detailed Report'!AS157</f>
        <v>97.296049999999994</v>
      </c>
      <c r="I161" s="106">
        <f>'Detailed Report'!AT157</f>
        <v>13.621447</v>
      </c>
      <c r="J161" s="106">
        <f>'Detailed Report'!AO157</f>
        <v>7.7642249999999997</v>
      </c>
      <c r="K161" s="106">
        <f>'Detailed Report'!AP157</f>
        <v>1.0869915000000001</v>
      </c>
      <c r="L161" s="106">
        <f>'Detailed Report'!AU157/1.14</f>
        <v>0</v>
      </c>
      <c r="M161" s="106">
        <f>'Detailed Report'!AU157-L161</f>
        <v>0</v>
      </c>
      <c r="N161" s="110">
        <f>'Detailed Report'!AW157</f>
        <v>323.90100000000001</v>
      </c>
      <c r="O161" s="111">
        <f t="shared" si="48"/>
        <v>65.283209999999997</v>
      </c>
      <c r="P161" s="110">
        <f>'Detailed Report'!AM157</f>
        <v>0</v>
      </c>
      <c r="Q161" s="110">
        <f>'Detailed Report'!AN157</f>
        <v>0</v>
      </c>
      <c r="R161" s="110">
        <f>'Detailed Report'!AU157/1.14</f>
        <v>0</v>
      </c>
      <c r="S161" s="110">
        <f>'Detailed Report'!AU157-'........... - Otlob'!R161</f>
        <v>0</v>
      </c>
    </row>
    <row r="162" spans="1:19" ht="14.45" customHeight="1" x14ac:dyDescent="0.25">
      <c r="A162" s="105">
        <f>+IF(B162="","",SUBTOTAL(3,B$8:B162))</f>
        <v>155</v>
      </c>
      <c r="B162" s="106" t="str">
        <f>'Detailed Report'!O158</f>
        <v>Fuddruckers - Concord Plaza Mall</v>
      </c>
      <c r="C162" s="107">
        <f>TRUNC('Detailed Report'!Q158,0)</f>
        <v>46028</v>
      </c>
      <c r="D162" s="108">
        <f>'Detailed Report'!P158</f>
        <v>3384272409</v>
      </c>
      <c r="E162" s="106" t="str">
        <f>'Detailed Report'!S158</f>
        <v>Successful</v>
      </c>
      <c r="F162" s="109">
        <f>IF(E162=$E$6,('Detailed Report'!Y158),IF(E162=$E$5,(0),0))</f>
        <v>264.99</v>
      </c>
      <c r="G162" s="106">
        <f>IF(E162=$E$6,('Detailed Report'!AQ158),IF(E162=$E$5,('Detailed Report'!AW158),0))</f>
        <v>232.44737000000001</v>
      </c>
      <c r="H162" s="106">
        <f>'Detailed Report'!AS158</f>
        <v>58.111840000000001</v>
      </c>
      <c r="I162" s="106">
        <f>'Detailed Report'!AT158</f>
        <v>8.1356576</v>
      </c>
      <c r="J162" s="106">
        <f>'Detailed Report'!AO158</f>
        <v>4.6373249999999997</v>
      </c>
      <c r="K162" s="106">
        <f>'Detailed Report'!AP158</f>
        <v>0.64922550000000001</v>
      </c>
      <c r="L162" s="106">
        <f>'Detailed Report'!AU158/1.14</f>
        <v>28.938596491228076</v>
      </c>
      <c r="M162" s="106">
        <f>'Detailed Report'!AU158-L162</f>
        <v>4.0514035087719265</v>
      </c>
      <c r="N162" s="110">
        <f>'Detailed Report'!AW158</f>
        <v>160.46600000000001</v>
      </c>
      <c r="O162" s="111">
        <f t="shared" si="48"/>
        <v>71.981369999999998</v>
      </c>
      <c r="P162" s="110">
        <f>'Detailed Report'!AM158</f>
        <v>0</v>
      </c>
      <c r="Q162" s="110">
        <f>'Detailed Report'!AN158</f>
        <v>0</v>
      </c>
      <c r="R162" s="110">
        <f>'Detailed Report'!AU158/1.14</f>
        <v>28.938596491228076</v>
      </c>
      <c r="S162" s="110">
        <f>'Detailed Report'!AU158-'........... - Otlob'!R162</f>
        <v>4.0514035087719265</v>
      </c>
    </row>
    <row r="163" spans="1:19" ht="14.45" customHeight="1" x14ac:dyDescent="0.25">
      <c r="A163" s="105">
        <f>+IF(B163="","",SUBTOTAL(3,B$8:B163))</f>
        <v>156</v>
      </c>
      <c r="B163" s="106" t="str">
        <f>'Detailed Report'!O159</f>
        <v>Fuddruckers - New Maadi</v>
      </c>
      <c r="C163" s="107">
        <f>TRUNC('Detailed Report'!Q159,0)</f>
        <v>46028</v>
      </c>
      <c r="D163" s="108">
        <f>'Detailed Report'!P159</f>
        <v>3384392007</v>
      </c>
      <c r="E163" s="106" t="str">
        <f>'Detailed Report'!S159</f>
        <v>Successful</v>
      </c>
      <c r="F163" s="109">
        <f>IF(E163=$E$6,('Detailed Report'!Y159),IF(E163=$E$5,(0),0))</f>
        <v>683.65</v>
      </c>
      <c r="G163" s="106">
        <f>IF(E163=$E$6,('Detailed Report'!AQ159),IF(E163=$E$5,('Detailed Report'!AW159),0))</f>
        <v>599.69298000000003</v>
      </c>
      <c r="H163" s="106">
        <f>'Detailed Report'!AS159</f>
        <v>149.92325</v>
      </c>
      <c r="I163" s="106">
        <f>'Detailed Report'!AT159</f>
        <v>20.989255</v>
      </c>
      <c r="J163" s="106">
        <f>'Detailed Report'!AO159</f>
        <v>0</v>
      </c>
      <c r="K163" s="106">
        <f>'Detailed Report'!AP159</f>
        <v>0</v>
      </c>
      <c r="L163" s="106">
        <f>'Detailed Report'!AU159/1.14</f>
        <v>0</v>
      </c>
      <c r="M163" s="106">
        <f>'Detailed Report'!AU159-L163</f>
        <v>0</v>
      </c>
      <c r="N163" s="110">
        <f>'Detailed Report'!AW159</f>
        <v>512.73699999999997</v>
      </c>
      <c r="O163" s="111">
        <f t="shared" si="48"/>
        <v>86.955980000000068</v>
      </c>
      <c r="P163" s="110">
        <f>'Detailed Report'!AM159</f>
        <v>0</v>
      </c>
      <c r="Q163" s="110">
        <f>'Detailed Report'!AN159</f>
        <v>0</v>
      </c>
      <c r="R163" s="110">
        <f>'Detailed Report'!AU159/1.14</f>
        <v>0</v>
      </c>
      <c r="S163" s="110">
        <f>'Detailed Report'!AU159-'........... - Otlob'!R163</f>
        <v>0</v>
      </c>
    </row>
    <row r="164" spans="1:19" ht="14.45" customHeight="1" x14ac:dyDescent="0.25">
      <c r="A164" s="105">
        <f>+IF(B164="","",SUBTOTAL(3,B$8:B164))</f>
        <v>157</v>
      </c>
      <c r="B164" s="106" t="str">
        <f>'Detailed Report'!O160</f>
        <v>Fuddruckers - Concord Plaza Mall</v>
      </c>
      <c r="C164" s="107">
        <f>TRUNC('Detailed Report'!Q160,0)</f>
        <v>46028</v>
      </c>
      <c r="D164" s="108">
        <f>'Detailed Report'!P160</f>
        <v>3384416719</v>
      </c>
      <c r="E164" s="106" t="str">
        <f>'Detailed Report'!S160</f>
        <v>Successful</v>
      </c>
      <c r="F164" s="109">
        <f>IF(E164=$E$6,('Detailed Report'!Y160),IF(E164=$E$5,(0),0))</f>
        <v>701.13</v>
      </c>
      <c r="G164" s="106">
        <f>IF(E164=$E$6,('Detailed Report'!AQ160),IF(E164=$E$5,('Detailed Report'!AW160),0))</f>
        <v>615.02632000000006</v>
      </c>
      <c r="H164" s="106">
        <f>'Detailed Report'!AS160</f>
        <v>153.75658000000001</v>
      </c>
      <c r="I164" s="106">
        <f>'Detailed Report'!AT160</f>
        <v>21.525921199999999</v>
      </c>
      <c r="J164" s="106">
        <f>'Detailed Report'!AO160</f>
        <v>12.269774999999999</v>
      </c>
      <c r="K164" s="106">
        <f>'Detailed Report'!AP160</f>
        <v>1.7177685</v>
      </c>
      <c r="L164" s="106">
        <f>'Detailed Report'!AU160/1.14</f>
        <v>31.570175438596497</v>
      </c>
      <c r="M164" s="106">
        <f>'Detailed Report'!AU160-L164</f>
        <v>4.4198245614035052</v>
      </c>
      <c r="N164" s="110">
        <f>'Detailed Report'!AW160</f>
        <v>441.67</v>
      </c>
      <c r="O164" s="111">
        <f t="shared" si="48"/>
        <v>173.35632000000004</v>
      </c>
      <c r="P164" s="110">
        <f>'Detailed Report'!AM160</f>
        <v>30</v>
      </c>
      <c r="Q164" s="110">
        <f>'Detailed Report'!AN160</f>
        <v>4.2</v>
      </c>
      <c r="R164" s="110">
        <f>'Detailed Report'!AU160/1.14</f>
        <v>31.570175438596497</v>
      </c>
      <c r="S164" s="110">
        <f>'Detailed Report'!AU160-'........... - Otlob'!R164</f>
        <v>4.4198245614035052</v>
      </c>
    </row>
    <row r="165" spans="1:19" ht="14.45" customHeight="1" x14ac:dyDescent="0.25">
      <c r="A165" s="105">
        <f>+IF(B165="","",SUBTOTAL(3,B$8:B165))</f>
        <v>158</v>
      </c>
      <c r="B165" s="106" t="str">
        <f>'Detailed Report'!O161</f>
        <v>Fuddruckers - New Maadi</v>
      </c>
      <c r="C165" s="107">
        <f>TRUNC('Detailed Report'!Q161,0)</f>
        <v>46028</v>
      </c>
      <c r="D165" s="108">
        <f>'Detailed Report'!P161</f>
        <v>3384466772</v>
      </c>
      <c r="E165" s="106" t="str">
        <f>'Detailed Report'!S161</f>
        <v>Successful</v>
      </c>
      <c r="F165" s="109">
        <f>IF(E165=$E$6,('Detailed Report'!Y161),IF(E165=$E$5,(0),0))</f>
        <v>2510.96</v>
      </c>
      <c r="G165" s="106">
        <f>IF(E165=$E$6,('Detailed Report'!AQ161),IF(E165=$E$5,('Detailed Report'!AW161),0))</f>
        <v>2202.5964899999999</v>
      </c>
      <c r="H165" s="106">
        <f>'Detailed Report'!AS161</f>
        <v>550.64912000000004</v>
      </c>
      <c r="I165" s="106">
        <f>'Detailed Report'!AT161</f>
        <v>77.090876800000004</v>
      </c>
      <c r="J165" s="106">
        <f>'Detailed Report'!AO161</f>
        <v>0</v>
      </c>
      <c r="K165" s="106">
        <f>'Detailed Report'!AP161</f>
        <v>0</v>
      </c>
      <c r="L165" s="106">
        <f>'Detailed Report'!AU161/1.14</f>
        <v>0</v>
      </c>
      <c r="M165" s="106">
        <f>'Detailed Report'!AU161-L165</f>
        <v>0</v>
      </c>
      <c r="N165" s="110">
        <f>'Detailed Report'!AW161</f>
        <v>1883.22</v>
      </c>
      <c r="O165" s="111">
        <f t="shared" si="48"/>
        <v>319.37648999999988</v>
      </c>
      <c r="P165" s="110">
        <f>'Detailed Report'!AM161</f>
        <v>0</v>
      </c>
      <c r="Q165" s="110">
        <f>'Detailed Report'!AN161</f>
        <v>0</v>
      </c>
      <c r="R165" s="110">
        <f>'Detailed Report'!AU161/1.14</f>
        <v>0</v>
      </c>
      <c r="S165" s="110">
        <f>'Detailed Report'!AU161-'........... - Otlob'!R165</f>
        <v>0</v>
      </c>
    </row>
    <row r="166" spans="1:19" ht="14.45" customHeight="1" x14ac:dyDescent="0.25">
      <c r="A166" s="105">
        <f>+IF(B166="","",SUBTOTAL(3,B$8:B166))</f>
        <v>159</v>
      </c>
      <c r="B166" s="106" t="str">
        <f>'Detailed Report'!O162</f>
        <v>Fuddruckers - Concord Plaza Mall</v>
      </c>
      <c r="C166" s="107">
        <f>TRUNC('Detailed Report'!Q162,0)</f>
        <v>46028</v>
      </c>
      <c r="D166" s="108">
        <f>'Detailed Report'!P162</f>
        <v>3384506602</v>
      </c>
      <c r="E166" s="106" t="str">
        <f>'Detailed Report'!S162</f>
        <v>Successful</v>
      </c>
      <c r="F166" s="109">
        <f>IF(E166=$E$6,('Detailed Report'!Y162),IF(E166=$E$5,(0),0))</f>
        <v>1204.97</v>
      </c>
      <c r="G166" s="106">
        <f>IF(E166=$E$6,('Detailed Report'!AQ162),IF(E166=$E$5,('Detailed Report'!AW162),0))</f>
        <v>1056.9912300000001</v>
      </c>
      <c r="H166" s="106">
        <f>'Detailed Report'!AS162</f>
        <v>264.24781000000002</v>
      </c>
      <c r="I166" s="106">
        <f>'Detailed Report'!AT162</f>
        <v>36.994693400000003</v>
      </c>
      <c r="J166" s="106">
        <f>'Detailed Report'!AO162</f>
        <v>21.086974999999999</v>
      </c>
      <c r="K166" s="106">
        <f>'Detailed Report'!AP162</f>
        <v>2.9521765000000002</v>
      </c>
      <c r="L166" s="106">
        <f>'Detailed Report'!AU162/1.14</f>
        <v>0</v>
      </c>
      <c r="M166" s="106">
        <f>'Detailed Report'!AU162-L166</f>
        <v>0</v>
      </c>
      <c r="N166" s="110">
        <f>'Detailed Report'!AW162</f>
        <v>845.48800000000006</v>
      </c>
      <c r="O166" s="111">
        <f t="shared" si="48"/>
        <v>211.50323000000003</v>
      </c>
      <c r="P166" s="110">
        <f>'Detailed Report'!AM162</f>
        <v>30</v>
      </c>
      <c r="Q166" s="110">
        <f>'Detailed Report'!AN162</f>
        <v>4.2</v>
      </c>
      <c r="R166" s="110">
        <f>'Detailed Report'!AU162/1.14</f>
        <v>0</v>
      </c>
      <c r="S166" s="110">
        <f>'Detailed Report'!AU162-'........... - Otlob'!R166</f>
        <v>0</v>
      </c>
    </row>
    <row r="167" spans="1:19" ht="14.45" customHeight="1" x14ac:dyDescent="0.25">
      <c r="A167" s="105">
        <f>+IF(B167="","",SUBTOTAL(3,B$8:B167))</f>
        <v>160</v>
      </c>
      <c r="B167" s="106" t="str">
        <f>'Detailed Report'!O163</f>
        <v>Fuddruckers - New Maadi</v>
      </c>
      <c r="C167" s="107">
        <f>TRUNC('Detailed Report'!Q163,0)</f>
        <v>46028</v>
      </c>
      <c r="D167" s="108">
        <f>'Detailed Report'!P163</f>
        <v>3384534234</v>
      </c>
      <c r="E167" s="106" t="str">
        <f>'Detailed Report'!S163</f>
        <v>Successful</v>
      </c>
      <c r="F167" s="109">
        <f>IF(E167=$E$6,('Detailed Report'!Y163),IF(E167=$E$5,(0),0))</f>
        <v>453.97</v>
      </c>
      <c r="G167" s="106">
        <f>IF(E167=$E$6,('Detailed Report'!AQ163),IF(E167=$E$5,('Detailed Report'!AW163),0))</f>
        <v>398.21929999999998</v>
      </c>
      <c r="H167" s="106">
        <f>'Detailed Report'!AS163</f>
        <v>99.554829999999995</v>
      </c>
      <c r="I167" s="106">
        <f>'Detailed Report'!AT163</f>
        <v>13.9376762</v>
      </c>
      <c r="J167" s="106">
        <f>'Detailed Report'!AO163</f>
        <v>7.9444749999999997</v>
      </c>
      <c r="K167" s="106">
        <f>'Detailed Report'!AP163</f>
        <v>1.1122265</v>
      </c>
      <c r="L167" s="106">
        <f>'Detailed Report'!AU163/1.14</f>
        <v>24.55263157894737</v>
      </c>
      <c r="M167" s="106">
        <f>'Detailed Report'!AU163-L167</f>
        <v>3.4373684210526285</v>
      </c>
      <c r="N167" s="110">
        <f>'Detailed Report'!AW163</f>
        <v>303.43099999999998</v>
      </c>
      <c r="O167" s="111">
        <f t="shared" si="48"/>
        <v>94.788299999999992</v>
      </c>
      <c r="P167" s="110">
        <f>'Detailed Report'!AM163</f>
        <v>0</v>
      </c>
      <c r="Q167" s="110">
        <f>'Detailed Report'!AN163</f>
        <v>0</v>
      </c>
      <c r="R167" s="110">
        <f>'Detailed Report'!AU163/1.14</f>
        <v>24.55263157894737</v>
      </c>
      <c r="S167" s="110">
        <f>'Detailed Report'!AU163-'........... - Otlob'!R167</f>
        <v>3.4373684210526285</v>
      </c>
    </row>
    <row r="168" spans="1:19" ht="14.45" customHeight="1" x14ac:dyDescent="0.25">
      <c r="A168" s="105">
        <f>+IF(B168="","",SUBTOTAL(3,B$8:B168))</f>
        <v>161</v>
      </c>
      <c r="B168" s="106" t="str">
        <f>'Detailed Report'!O164</f>
        <v>Fuddruckers - New Maadi</v>
      </c>
      <c r="C168" s="107">
        <f>TRUNC('Detailed Report'!Q164,0)</f>
        <v>46028</v>
      </c>
      <c r="D168" s="108">
        <f>'Detailed Report'!P164</f>
        <v>3384549590</v>
      </c>
      <c r="E168" s="106" t="str">
        <f>'Detailed Report'!S164</f>
        <v>Successful</v>
      </c>
      <c r="F168" s="109">
        <f>IF(E168=$E$6,('Detailed Report'!Y164),IF(E168=$E$5,(0),0))</f>
        <v>1749.02</v>
      </c>
      <c r="G168" s="106">
        <f>IF(E168=$E$6,('Detailed Report'!AQ164),IF(E168=$E$5,('Detailed Report'!AW164),0))</f>
        <v>1534.2280699999999</v>
      </c>
      <c r="H168" s="106">
        <f>'Detailed Report'!AS164</f>
        <v>383.55702000000002</v>
      </c>
      <c r="I168" s="106">
        <f>'Detailed Report'!AT164</f>
        <v>53.697982799999998</v>
      </c>
      <c r="J168" s="106">
        <f>'Detailed Report'!AO164</f>
        <v>30.607849999999999</v>
      </c>
      <c r="K168" s="106">
        <f>'Detailed Report'!AP164</f>
        <v>4.2850989999999998</v>
      </c>
      <c r="L168" s="106">
        <f>'Detailed Report'!AU164/1.14</f>
        <v>25.42982456140351</v>
      </c>
      <c r="M168" s="106">
        <f>'Detailed Report'!AU164-L168</f>
        <v>3.5601754385964881</v>
      </c>
      <c r="N168" s="110">
        <f>'Detailed Report'!AW164</f>
        <v>1213.682</v>
      </c>
      <c r="O168" s="111">
        <f t="shared" si="48"/>
        <v>320.54606999999987</v>
      </c>
      <c r="P168" s="110">
        <f>'Detailed Report'!AM164</f>
        <v>30</v>
      </c>
      <c r="Q168" s="110">
        <f>'Detailed Report'!AN164</f>
        <v>4.2</v>
      </c>
      <c r="R168" s="110">
        <f>'Detailed Report'!AU164/1.14</f>
        <v>25.42982456140351</v>
      </c>
      <c r="S168" s="110">
        <f>'Detailed Report'!AU164-'........... - Otlob'!R168</f>
        <v>3.5601754385964881</v>
      </c>
    </row>
    <row r="169" spans="1:19" ht="14.45" customHeight="1" x14ac:dyDescent="0.25">
      <c r="A169" s="105">
        <f>+IF(B169="","",SUBTOTAL(3,B$8:B169))</f>
        <v>162</v>
      </c>
      <c r="B169" s="106" t="str">
        <f>'Detailed Report'!O165</f>
        <v>Fuddruckers - Concord Plaza Mall</v>
      </c>
      <c r="C169" s="107">
        <f>TRUNC('Detailed Report'!Q165,0)</f>
        <v>46028</v>
      </c>
      <c r="D169" s="108">
        <f>'Detailed Report'!P165</f>
        <v>3384574515</v>
      </c>
      <c r="E169" s="106" t="str">
        <f>'Detailed Report'!S165</f>
        <v>Successful</v>
      </c>
      <c r="F169" s="109">
        <f>IF(E169=$E$6,('Detailed Report'!Y165),IF(E169=$E$5,(0),0))</f>
        <v>429.99</v>
      </c>
      <c r="G169" s="106">
        <f>IF(E169=$E$6,('Detailed Report'!AQ165),IF(E169=$E$5,('Detailed Report'!AW165),0))</f>
        <v>377.18421000000001</v>
      </c>
      <c r="H169" s="106">
        <f>'Detailed Report'!AS165</f>
        <v>94.296049999999994</v>
      </c>
      <c r="I169" s="106">
        <f>'Detailed Report'!AT165</f>
        <v>13.201447</v>
      </c>
      <c r="J169" s="106">
        <f>'Detailed Report'!AO165</f>
        <v>7.5248249999999999</v>
      </c>
      <c r="K169" s="106">
        <f>'Detailed Report'!AP165</f>
        <v>1.0534755</v>
      </c>
      <c r="L169" s="106">
        <f>'Detailed Report'!AU165/1.14</f>
        <v>28.938596491228076</v>
      </c>
      <c r="M169" s="106">
        <f>'Detailed Report'!AU165-L169</f>
        <v>4.0514035087719265</v>
      </c>
      <c r="N169" s="110">
        <f>'Detailed Report'!AW165</f>
        <v>280.92399999999998</v>
      </c>
      <c r="O169" s="111">
        <f t="shared" si="48"/>
        <v>96.260210000000029</v>
      </c>
      <c r="P169" s="110">
        <f>'Detailed Report'!AM165</f>
        <v>0</v>
      </c>
      <c r="Q169" s="110">
        <f>'Detailed Report'!AN165</f>
        <v>0</v>
      </c>
      <c r="R169" s="110">
        <f>'Detailed Report'!AU165/1.14</f>
        <v>28.938596491228076</v>
      </c>
      <c r="S169" s="110">
        <f>'Detailed Report'!AU165-'........... - Otlob'!R169</f>
        <v>4.0514035087719265</v>
      </c>
    </row>
    <row r="170" spans="1:19" ht="14.45" customHeight="1" x14ac:dyDescent="0.25">
      <c r="A170" s="105">
        <f>+IF(B170="","",SUBTOTAL(3,B$8:B170))</f>
        <v>163</v>
      </c>
      <c r="B170" s="106" t="str">
        <f>'Detailed Report'!O166</f>
        <v>Fuddruckers - Concord Plaza Mall</v>
      </c>
      <c r="C170" s="107">
        <f>TRUNC('Detailed Report'!Q166,0)</f>
        <v>46028</v>
      </c>
      <c r="D170" s="108">
        <f>'Detailed Report'!P166</f>
        <v>3384609338</v>
      </c>
      <c r="E170" s="106" t="str">
        <f>'Detailed Report'!S166</f>
        <v>Successful</v>
      </c>
      <c r="F170" s="109">
        <f>IF(E170=$E$6,('Detailed Report'!Y166),IF(E170=$E$5,(0),0))</f>
        <v>624.97</v>
      </c>
      <c r="G170" s="106">
        <f>IF(E170=$E$6,('Detailed Report'!AQ166),IF(E170=$E$5,('Detailed Report'!AW166),0))</f>
        <v>548.21929999999998</v>
      </c>
      <c r="H170" s="106">
        <f>'Detailed Report'!AS166</f>
        <v>137.05483000000001</v>
      </c>
      <c r="I170" s="106">
        <f>'Detailed Report'!AT166</f>
        <v>19.187676199999999</v>
      </c>
      <c r="J170" s="106">
        <f>'Detailed Report'!AO166</f>
        <v>10.936975</v>
      </c>
      <c r="K170" s="106">
        <f>'Detailed Report'!AP166</f>
        <v>1.5311764999999999</v>
      </c>
      <c r="L170" s="106">
        <f>'Detailed Report'!AU166/1.14</f>
        <v>31.570175438596497</v>
      </c>
      <c r="M170" s="106">
        <f>'Detailed Report'!AU166-L170</f>
        <v>4.4198245614035052</v>
      </c>
      <c r="N170" s="110">
        <f>'Detailed Report'!AW166</f>
        <v>420.26900000000001</v>
      </c>
      <c r="O170" s="111">
        <f t="shared" si="48"/>
        <v>127.95029999999997</v>
      </c>
      <c r="P170" s="110">
        <f>'Detailed Report'!AM166</f>
        <v>0</v>
      </c>
      <c r="Q170" s="110">
        <f>'Detailed Report'!AN166</f>
        <v>0</v>
      </c>
      <c r="R170" s="110">
        <f>'Detailed Report'!AU166/1.14</f>
        <v>31.570175438596497</v>
      </c>
      <c r="S170" s="110">
        <f>'Detailed Report'!AU166-'........... - Otlob'!R170</f>
        <v>4.4198245614035052</v>
      </c>
    </row>
    <row r="171" spans="1:19" ht="14.45" customHeight="1" x14ac:dyDescent="0.25">
      <c r="A171" s="105">
        <f>+IF(B171="","",SUBTOTAL(3,B$8:B171))</f>
        <v>164</v>
      </c>
      <c r="B171" s="106" t="str">
        <f>'Detailed Report'!O167</f>
        <v>Fuddruckers - New Maadi</v>
      </c>
      <c r="C171" s="107">
        <f>TRUNC('Detailed Report'!Q167,0)</f>
        <v>46028</v>
      </c>
      <c r="D171" s="108">
        <f>'Detailed Report'!P167</f>
        <v>3384664688</v>
      </c>
      <c r="E171" s="106" t="str">
        <f>'Detailed Report'!S167</f>
        <v>Successful</v>
      </c>
      <c r="F171" s="109">
        <f>IF(E171=$E$6,('Detailed Report'!Y167),IF(E171=$E$5,(0),0))</f>
        <v>117.86</v>
      </c>
      <c r="G171" s="106">
        <f>IF(E171=$E$6,('Detailed Report'!AQ167),IF(E171=$E$5,('Detailed Report'!AW167),0))</f>
        <v>103.38596</v>
      </c>
      <c r="H171" s="106">
        <f>'Detailed Report'!AS167</f>
        <v>25.846489999999999</v>
      </c>
      <c r="I171" s="106">
        <f>'Detailed Report'!AT167</f>
        <v>3.6185086000000002</v>
      </c>
      <c r="J171" s="106">
        <f>'Detailed Report'!AO167</f>
        <v>2.0625499999999999</v>
      </c>
      <c r="K171" s="106">
        <f>'Detailed Report'!AP167</f>
        <v>0.28875699999999999</v>
      </c>
      <c r="L171" s="106">
        <f>'Detailed Report'!AU167/1.14</f>
        <v>0</v>
      </c>
      <c r="M171" s="106">
        <f>'Detailed Report'!AU167-L171</f>
        <v>0</v>
      </c>
      <c r="N171" s="110">
        <f>'Detailed Report'!AW167</f>
        <v>86.043999999999997</v>
      </c>
      <c r="O171" s="111">
        <f t="shared" si="48"/>
        <v>17.34196</v>
      </c>
      <c r="P171" s="110">
        <f>'Detailed Report'!AM167</f>
        <v>0</v>
      </c>
      <c r="Q171" s="110">
        <f>'Detailed Report'!AN167</f>
        <v>0</v>
      </c>
      <c r="R171" s="110">
        <f>'Detailed Report'!AU167/1.14</f>
        <v>0</v>
      </c>
      <c r="S171" s="110">
        <f>'Detailed Report'!AU167-'........... - Otlob'!R171</f>
        <v>0</v>
      </c>
    </row>
    <row r="172" spans="1:19" ht="14.45" customHeight="1" x14ac:dyDescent="0.25">
      <c r="A172" s="105">
        <f>+IF(B172="","",SUBTOTAL(3,B$8:B172))</f>
        <v>165</v>
      </c>
      <c r="B172" s="106" t="str">
        <f>'Detailed Report'!O168</f>
        <v>Fuddruckers - New Maadi</v>
      </c>
      <c r="C172" s="107">
        <f>TRUNC('Detailed Report'!Q168,0)</f>
        <v>46028</v>
      </c>
      <c r="D172" s="108">
        <f>'Detailed Report'!P168</f>
        <v>3384672726</v>
      </c>
      <c r="E172" s="106" t="str">
        <f>'Detailed Report'!S168</f>
        <v>Successful</v>
      </c>
      <c r="F172" s="109">
        <f>IF(E172=$E$6,('Detailed Report'!Y168),IF(E172=$E$5,(0),0))</f>
        <v>384.01</v>
      </c>
      <c r="G172" s="106">
        <f>IF(E172=$E$6,('Detailed Report'!AQ168),IF(E172=$E$5,('Detailed Report'!AW168),0))</f>
        <v>336.85088000000002</v>
      </c>
      <c r="H172" s="106">
        <f>'Detailed Report'!AS168</f>
        <v>84.212720000000004</v>
      </c>
      <c r="I172" s="106">
        <f>'Detailed Report'!AT168</f>
        <v>11.789780800000001</v>
      </c>
      <c r="J172" s="106">
        <f>'Detailed Report'!AO168</f>
        <v>6.7201750000000002</v>
      </c>
      <c r="K172" s="106">
        <f>'Detailed Report'!AP168</f>
        <v>0.94082449999999995</v>
      </c>
      <c r="L172" s="106">
        <f>'Detailed Report'!AU168/1.14</f>
        <v>0</v>
      </c>
      <c r="M172" s="106">
        <f>'Detailed Report'!AU168-L172</f>
        <v>0</v>
      </c>
      <c r="N172" s="110">
        <f>'Detailed Report'!AW168</f>
        <v>280.346</v>
      </c>
      <c r="O172" s="111">
        <f t="shared" si="48"/>
        <v>56.504880000000014</v>
      </c>
      <c r="P172" s="110">
        <f>'Detailed Report'!AM168</f>
        <v>0</v>
      </c>
      <c r="Q172" s="110">
        <f>'Detailed Report'!AN168</f>
        <v>0</v>
      </c>
      <c r="R172" s="110">
        <f>'Detailed Report'!AU168/1.14</f>
        <v>0</v>
      </c>
      <c r="S172" s="110">
        <f>'Detailed Report'!AU168-'........... - Otlob'!R172</f>
        <v>0</v>
      </c>
    </row>
    <row r="173" spans="1:19" ht="14.45" customHeight="1" x14ac:dyDescent="0.25">
      <c r="A173" s="105">
        <f>+IF(B173="","",SUBTOTAL(3,B$8:B173))</f>
        <v>166</v>
      </c>
      <c r="B173" s="106" t="str">
        <f>'Detailed Report'!O169</f>
        <v>Fuddruckers - New Maadi</v>
      </c>
      <c r="C173" s="107">
        <f>TRUNC('Detailed Report'!Q169,0)</f>
        <v>46028</v>
      </c>
      <c r="D173" s="108">
        <f>'Detailed Report'!P169</f>
        <v>3384794529</v>
      </c>
      <c r="E173" s="106" t="str">
        <f>'Detailed Report'!S169</f>
        <v>Successful</v>
      </c>
      <c r="F173" s="109">
        <f>IF(E173=$E$6,('Detailed Report'!Y169),IF(E173=$E$5,(0),0))</f>
        <v>710</v>
      </c>
      <c r="G173" s="106">
        <f>IF(E173=$E$6,('Detailed Report'!AQ169),IF(E173=$E$5,('Detailed Report'!AW169),0))</f>
        <v>622.80701999999997</v>
      </c>
      <c r="H173" s="106">
        <f>'Detailed Report'!AS169</f>
        <v>155.70176000000001</v>
      </c>
      <c r="I173" s="106">
        <f>'Detailed Report'!AT169</f>
        <v>21.7982464</v>
      </c>
      <c r="J173" s="106">
        <f>'Detailed Report'!AO169</f>
        <v>12.425000000000001</v>
      </c>
      <c r="K173" s="106">
        <f>'Detailed Report'!AP169</f>
        <v>1.7395</v>
      </c>
      <c r="L173" s="106">
        <f>'Detailed Report'!AU169/1.14</f>
        <v>26.307017543859651</v>
      </c>
      <c r="M173" s="106">
        <f>'Detailed Report'!AU169-L173</f>
        <v>3.6829824561403477</v>
      </c>
      <c r="N173" s="110">
        <f>'Detailed Report'!AW169</f>
        <v>488.34500000000003</v>
      </c>
      <c r="O173" s="111">
        <f t="shared" si="48"/>
        <v>134.46201999999994</v>
      </c>
      <c r="P173" s="110">
        <f>'Detailed Report'!AM169</f>
        <v>0</v>
      </c>
      <c r="Q173" s="110">
        <f>'Detailed Report'!AN169</f>
        <v>0</v>
      </c>
      <c r="R173" s="110">
        <f>'Detailed Report'!AU169/1.14</f>
        <v>26.307017543859651</v>
      </c>
      <c r="S173" s="110">
        <f>'Detailed Report'!AU169-'........... - Otlob'!R173</f>
        <v>3.6829824561403477</v>
      </c>
    </row>
    <row r="174" spans="1:19" ht="14.45" customHeight="1" x14ac:dyDescent="0.25">
      <c r="A174" s="105">
        <f>+IF(B174="","",SUBTOTAL(3,B$8:B174))</f>
        <v>167</v>
      </c>
      <c r="B174" s="106" t="str">
        <f>'Detailed Report'!O170</f>
        <v>Fuddruckers - New Maadi</v>
      </c>
      <c r="C174" s="107">
        <f>TRUNC('Detailed Report'!Q170,0)</f>
        <v>46028</v>
      </c>
      <c r="D174" s="108">
        <f>'Detailed Report'!P170</f>
        <v>3384808542</v>
      </c>
      <c r="E174" s="106" t="str">
        <f>'Detailed Report'!S170</f>
        <v>Successful</v>
      </c>
      <c r="F174" s="109">
        <f>IF(E174=$E$6,('Detailed Report'!Y170),IF(E174=$E$5,(0),0))</f>
        <v>273.99</v>
      </c>
      <c r="G174" s="106">
        <f>IF(E174=$E$6,('Detailed Report'!AQ170),IF(E174=$E$5,('Detailed Report'!AW170),0))</f>
        <v>240.34210999999999</v>
      </c>
      <c r="H174" s="106">
        <f>'Detailed Report'!AS170</f>
        <v>60.085529999999999</v>
      </c>
      <c r="I174" s="106">
        <f>'Detailed Report'!AT170</f>
        <v>8.4119741999999995</v>
      </c>
      <c r="J174" s="106">
        <f>'Detailed Report'!AO170</f>
        <v>4.7948250000000003</v>
      </c>
      <c r="K174" s="106">
        <f>'Detailed Report'!AP170</f>
        <v>0.67127550000000002</v>
      </c>
      <c r="L174" s="106">
        <f>'Detailed Report'!AU170/1.14</f>
        <v>0</v>
      </c>
      <c r="M174" s="106">
        <f>'Detailed Report'!AU170-L174</f>
        <v>0</v>
      </c>
      <c r="N174" s="110">
        <f>'Detailed Report'!AW170</f>
        <v>200.02600000000001</v>
      </c>
      <c r="O174" s="111">
        <f t="shared" si="48"/>
        <v>40.316109999999981</v>
      </c>
      <c r="P174" s="110">
        <f>'Detailed Report'!AM170</f>
        <v>0</v>
      </c>
      <c r="Q174" s="110">
        <f>'Detailed Report'!AN170</f>
        <v>0</v>
      </c>
      <c r="R174" s="110">
        <f>'Detailed Report'!AU170/1.14</f>
        <v>0</v>
      </c>
      <c r="S174" s="110">
        <f>'Detailed Report'!AU170-'........... - Otlob'!R174</f>
        <v>0</v>
      </c>
    </row>
    <row r="175" spans="1:19" ht="14.45" customHeight="1" x14ac:dyDescent="0.25">
      <c r="A175" s="105">
        <f>+IF(B175="","",SUBTOTAL(3,B$8:B175))</f>
        <v>168</v>
      </c>
      <c r="B175" s="106" t="str">
        <f>'Detailed Report'!O171</f>
        <v>Fuddruckers - New Maadi</v>
      </c>
      <c r="C175" s="107">
        <f>TRUNC('Detailed Report'!Q171,0)</f>
        <v>46028</v>
      </c>
      <c r="D175" s="108">
        <f>'Detailed Report'!P171</f>
        <v>3384818657</v>
      </c>
      <c r="E175" s="106" t="str">
        <f>'Detailed Report'!S171</f>
        <v>Successful</v>
      </c>
      <c r="F175" s="109">
        <f>IF(E175=$E$6,('Detailed Report'!Y171),IF(E175=$E$5,(0),0))</f>
        <v>542.98</v>
      </c>
      <c r="G175" s="106">
        <f>IF(E175=$E$6,('Detailed Report'!AQ171),IF(E175=$E$5,('Detailed Report'!AW171),0))</f>
        <v>476.29825</v>
      </c>
      <c r="H175" s="106">
        <f>'Detailed Report'!AS171</f>
        <v>119.07456000000001</v>
      </c>
      <c r="I175" s="106">
        <f>'Detailed Report'!AT171</f>
        <v>16.670438399999998</v>
      </c>
      <c r="J175" s="106">
        <f>'Detailed Report'!AO171</f>
        <v>9.5021500000000003</v>
      </c>
      <c r="K175" s="106">
        <f>'Detailed Report'!AP171</f>
        <v>1.330301</v>
      </c>
      <c r="L175" s="106">
        <f>'Detailed Report'!AU171/1.14</f>
        <v>26.307017543859651</v>
      </c>
      <c r="M175" s="106">
        <f>'Detailed Report'!AU171-L175</f>
        <v>3.6829824561403477</v>
      </c>
      <c r="N175" s="110">
        <f>'Detailed Report'!AW171</f>
        <v>366.41300000000001</v>
      </c>
      <c r="O175" s="111">
        <f t="shared" si="48"/>
        <v>109.88524999999998</v>
      </c>
      <c r="P175" s="110">
        <f>'Detailed Report'!AM171</f>
        <v>0</v>
      </c>
      <c r="Q175" s="110">
        <f>'Detailed Report'!AN171</f>
        <v>0</v>
      </c>
      <c r="R175" s="110">
        <f>'Detailed Report'!AU171/1.14</f>
        <v>26.307017543859651</v>
      </c>
      <c r="S175" s="110">
        <f>'Detailed Report'!AU171-'........... - Otlob'!R175</f>
        <v>3.6829824561403477</v>
      </c>
    </row>
    <row r="176" spans="1:19" ht="14.45" customHeight="1" x14ac:dyDescent="0.25">
      <c r="A176" s="105">
        <f>+IF(B176="","",SUBTOTAL(3,B$8:B176))</f>
        <v>169</v>
      </c>
      <c r="B176" s="106" t="str">
        <f>'Detailed Report'!O172</f>
        <v>Fuddruckers - Concord Plaza Mall</v>
      </c>
      <c r="C176" s="107">
        <f>TRUNC('Detailed Report'!Q172,0)</f>
        <v>46028</v>
      </c>
      <c r="D176" s="108">
        <f>'Detailed Report'!P172</f>
        <v>3384834007</v>
      </c>
      <c r="E176" s="106" t="str">
        <f>'Detailed Report'!S172</f>
        <v>Successful</v>
      </c>
      <c r="F176" s="109">
        <f>IF(E176=$E$6,('Detailed Report'!Y172),IF(E176=$E$5,(0),0))</f>
        <v>423.48</v>
      </c>
      <c r="G176" s="106">
        <f>IF(E176=$E$6,('Detailed Report'!AQ172),IF(E176=$E$5,('Detailed Report'!AW172),0))</f>
        <v>371.47368</v>
      </c>
      <c r="H176" s="106">
        <f>'Detailed Report'!AS172</f>
        <v>92.86842</v>
      </c>
      <c r="I176" s="106">
        <f>'Detailed Report'!AT172</f>
        <v>13.001578800000001</v>
      </c>
      <c r="J176" s="106">
        <f>'Detailed Report'!AO172</f>
        <v>7.4108999999999998</v>
      </c>
      <c r="K176" s="106">
        <f>'Detailed Report'!AP172</f>
        <v>1.0375259999999999</v>
      </c>
      <c r="L176" s="106">
        <f>'Detailed Report'!AU172/1.14</f>
        <v>27.184210526315791</v>
      </c>
      <c r="M176" s="106">
        <f>'Detailed Report'!AU172-L176</f>
        <v>3.8057894736842073</v>
      </c>
      <c r="N176" s="110">
        <f>'Detailed Report'!AW172</f>
        <v>278.17200000000003</v>
      </c>
      <c r="O176" s="111">
        <f t="shared" si="48"/>
        <v>93.301679999999976</v>
      </c>
      <c r="P176" s="110">
        <f>'Detailed Report'!AM172</f>
        <v>0</v>
      </c>
      <c r="Q176" s="110">
        <f>'Detailed Report'!AN172</f>
        <v>0</v>
      </c>
      <c r="R176" s="110">
        <f>'Detailed Report'!AU172/1.14</f>
        <v>27.184210526315791</v>
      </c>
      <c r="S176" s="110">
        <f>'Detailed Report'!AU172-'........... - Otlob'!R176</f>
        <v>3.8057894736842073</v>
      </c>
    </row>
    <row r="177" spans="1:19" ht="14.45" customHeight="1" x14ac:dyDescent="0.25">
      <c r="A177" s="105">
        <f>+IF(B177="","",SUBTOTAL(3,B$8:B177))</f>
        <v>170</v>
      </c>
      <c r="B177" s="106" t="str">
        <f>'Detailed Report'!O173</f>
        <v>Fuddruckers - New Maadi</v>
      </c>
      <c r="C177" s="107">
        <f>TRUNC('Detailed Report'!Q173,0)</f>
        <v>46028</v>
      </c>
      <c r="D177" s="108">
        <f>'Detailed Report'!P173</f>
        <v>3384915894</v>
      </c>
      <c r="E177" s="106" t="str">
        <f>'Detailed Report'!S173</f>
        <v>Successful</v>
      </c>
      <c r="F177" s="109">
        <f>IF(E177=$E$6,('Detailed Report'!Y173),IF(E177=$E$5,(0),0))</f>
        <v>282.66000000000003</v>
      </c>
      <c r="G177" s="106">
        <f>IF(E177=$E$6,('Detailed Report'!AQ173),IF(E177=$E$5,('Detailed Report'!AW173),0))</f>
        <v>247.94737000000001</v>
      </c>
      <c r="H177" s="106">
        <f>'Detailed Report'!AS173</f>
        <v>61.986840000000001</v>
      </c>
      <c r="I177" s="106">
        <f>'Detailed Report'!AT173</f>
        <v>8.6781576000000005</v>
      </c>
      <c r="J177" s="106">
        <f>'Detailed Report'!AO173</f>
        <v>0</v>
      </c>
      <c r="K177" s="106">
        <f>'Detailed Report'!AP173</f>
        <v>0</v>
      </c>
      <c r="L177" s="106">
        <f>'Detailed Report'!AU173/1.14</f>
        <v>23.67543859649123</v>
      </c>
      <c r="M177" s="106">
        <f>'Detailed Report'!AU173-L177</f>
        <v>3.3145614035087689</v>
      </c>
      <c r="N177" s="110">
        <f>'Detailed Report'!AW173</f>
        <v>150.80500000000001</v>
      </c>
      <c r="O177" s="111">
        <f t="shared" si="48"/>
        <v>97.14237</v>
      </c>
      <c r="P177" s="110">
        <f>'Detailed Report'!AM173</f>
        <v>30</v>
      </c>
      <c r="Q177" s="110">
        <f>'Detailed Report'!AN173</f>
        <v>4.2</v>
      </c>
      <c r="R177" s="110">
        <f>'Detailed Report'!AU173/1.14</f>
        <v>23.67543859649123</v>
      </c>
      <c r="S177" s="110">
        <f>'Detailed Report'!AU173-'........... - Otlob'!R177</f>
        <v>3.3145614035087689</v>
      </c>
    </row>
    <row r="178" spans="1:19" ht="14.45" customHeight="1" x14ac:dyDescent="0.25">
      <c r="A178" s="105">
        <f>+IF(B178="","",SUBTOTAL(3,B$8:B178))</f>
        <v>171</v>
      </c>
      <c r="B178" s="106" t="str">
        <f>'Detailed Report'!O174</f>
        <v>Fuddruckers - Concord Plaza Mall</v>
      </c>
      <c r="C178" s="107">
        <f>TRUNC('Detailed Report'!Q174,0)</f>
        <v>46028</v>
      </c>
      <c r="D178" s="108">
        <f>'Detailed Report'!P174</f>
        <v>3384963719</v>
      </c>
      <c r="E178" s="106" t="str">
        <f>'Detailed Report'!S174</f>
        <v>Successful</v>
      </c>
      <c r="F178" s="109">
        <f>IF(E178=$E$6,('Detailed Report'!Y174),IF(E178=$E$5,(0),0))</f>
        <v>533.98</v>
      </c>
      <c r="G178" s="106">
        <f>IF(E178=$E$6,('Detailed Report'!AQ174),IF(E178=$E$5,('Detailed Report'!AW174),0))</f>
        <v>468.40350999999998</v>
      </c>
      <c r="H178" s="106">
        <f>'Detailed Report'!AS174</f>
        <v>117.10088</v>
      </c>
      <c r="I178" s="106">
        <f>'Detailed Report'!AT174</f>
        <v>16.394123199999999</v>
      </c>
      <c r="J178" s="106">
        <f>'Detailed Report'!AO174</f>
        <v>9.3446499999999997</v>
      </c>
      <c r="K178" s="106">
        <f>'Detailed Report'!AP174</f>
        <v>1.3082510000000001</v>
      </c>
      <c r="L178" s="106">
        <f>'Detailed Report'!AU174/1.14</f>
        <v>28.938596491228076</v>
      </c>
      <c r="M178" s="106">
        <f>'Detailed Report'!AU174-L178</f>
        <v>4.0514035087719265</v>
      </c>
      <c r="N178" s="110">
        <f>'Detailed Report'!AW174</f>
        <v>356.84199999999998</v>
      </c>
      <c r="O178" s="111">
        <f t="shared" si="48"/>
        <v>111.56151</v>
      </c>
      <c r="P178" s="110">
        <f>'Detailed Report'!AM174</f>
        <v>0</v>
      </c>
      <c r="Q178" s="110">
        <f>'Detailed Report'!AN174</f>
        <v>0</v>
      </c>
      <c r="R178" s="110">
        <f>'Detailed Report'!AU174/1.14</f>
        <v>28.938596491228076</v>
      </c>
      <c r="S178" s="110">
        <f>'Detailed Report'!AU174-'........... - Otlob'!R178</f>
        <v>4.0514035087719265</v>
      </c>
    </row>
    <row r="179" spans="1:19" ht="14.45" customHeight="1" x14ac:dyDescent="0.25">
      <c r="A179" s="105">
        <f>+IF(B179="","",SUBTOTAL(3,B$8:B179))</f>
        <v>172</v>
      </c>
      <c r="B179" s="106" t="str">
        <f>'Detailed Report'!O175</f>
        <v>Fuddruckers - Concord Plaza Mall</v>
      </c>
      <c r="C179" s="107">
        <f>TRUNC('Detailed Report'!Q175,0)</f>
        <v>46028</v>
      </c>
      <c r="D179" s="108">
        <f>'Detailed Report'!P175</f>
        <v>3385038311</v>
      </c>
      <c r="E179" s="106" t="str">
        <f>'Detailed Report'!S175</f>
        <v>Successful</v>
      </c>
      <c r="F179" s="109">
        <f>IF(E179=$E$6,('Detailed Report'!Y175),IF(E179=$E$5,(0),0))</f>
        <v>334.98</v>
      </c>
      <c r="G179" s="106">
        <f>IF(E179=$E$6,('Detailed Report'!AQ175),IF(E179=$E$5,('Detailed Report'!AW175),0))</f>
        <v>293.84210999999999</v>
      </c>
      <c r="H179" s="106">
        <f>'Detailed Report'!AS175</f>
        <v>73.460530000000006</v>
      </c>
      <c r="I179" s="106">
        <f>'Detailed Report'!AT175</f>
        <v>10.2844742</v>
      </c>
      <c r="J179" s="106">
        <f>'Detailed Report'!AO175</f>
        <v>0</v>
      </c>
      <c r="K179" s="106">
        <f>'Detailed Report'!AP175</f>
        <v>0</v>
      </c>
      <c r="L179" s="106">
        <f>'Detailed Report'!AU175/1.14</f>
        <v>27.184210526315791</v>
      </c>
      <c r="M179" s="106">
        <f>'Detailed Report'!AU175-L179</f>
        <v>3.8057894736842073</v>
      </c>
      <c r="N179" s="110">
        <f>'Detailed Report'!AW175</f>
        <v>220.245</v>
      </c>
      <c r="O179" s="111">
        <f t="shared" si="48"/>
        <v>73.597109999999986</v>
      </c>
      <c r="P179" s="110">
        <f>'Detailed Report'!AM175</f>
        <v>0</v>
      </c>
      <c r="Q179" s="110">
        <f>'Detailed Report'!AN175</f>
        <v>0</v>
      </c>
      <c r="R179" s="110">
        <f>'Detailed Report'!AU175/1.14</f>
        <v>27.184210526315791</v>
      </c>
      <c r="S179" s="110">
        <f>'Detailed Report'!AU175-'........... - Otlob'!R179</f>
        <v>3.8057894736842073</v>
      </c>
    </row>
    <row r="180" spans="1:19" ht="14.45" customHeight="1" x14ac:dyDescent="0.25">
      <c r="A180" s="105">
        <f>+IF(B180="","",SUBTOTAL(3,B$8:B180))</f>
        <v>173</v>
      </c>
      <c r="B180" s="106" t="str">
        <f>'Detailed Report'!O176</f>
        <v>Fuddruckers - Concord Plaza Mall</v>
      </c>
      <c r="C180" s="107">
        <f>TRUNC('Detailed Report'!Q176,0)</f>
        <v>46028</v>
      </c>
      <c r="D180" s="108">
        <f>'Detailed Report'!P176</f>
        <v>3385144500</v>
      </c>
      <c r="E180" s="106" t="str">
        <f>'Detailed Report'!S176</f>
        <v>Successful</v>
      </c>
      <c r="F180" s="109">
        <f>IF(E180=$E$6,('Detailed Report'!Y176),IF(E180=$E$5,(0),0))</f>
        <v>858.97</v>
      </c>
      <c r="G180" s="106">
        <f>IF(E180=$E$6,('Detailed Report'!AQ176),IF(E180=$E$5,('Detailed Report'!AW176),0))</f>
        <v>753.48245999999995</v>
      </c>
      <c r="H180" s="106">
        <f>'Detailed Report'!AS176</f>
        <v>188.37062</v>
      </c>
      <c r="I180" s="106">
        <f>'Detailed Report'!AT176</f>
        <v>26.371886799999999</v>
      </c>
      <c r="J180" s="106">
        <f>'Detailed Report'!AO176</f>
        <v>0</v>
      </c>
      <c r="K180" s="106">
        <f>'Detailed Report'!AP176</f>
        <v>0</v>
      </c>
      <c r="L180" s="106">
        <f>'Detailed Report'!AU176/1.14</f>
        <v>0</v>
      </c>
      <c r="M180" s="106">
        <f>'Detailed Report'!AU176-L180</f>
        <v>0</v>
      </c>
      <c r="N180" s="110">
        <f>'Detailed Report'!AW176</f>
        <v>644.22699999999998</v>
      </c>
      <c r="O180" s="111">
        <f t="shared" si="48"/>
        <v>109.25545999999997</v>
      </c>
      <c r="P180" s="110">
        <f>'Detailed Report'!AM176</f>
        <v>0</v>
      </c>
      <c r="Q180" s="110">
        <f>'Detailed Report'!AN176</f>
        <v>0</v>
      </c>
      <c r="R180" s="110">
        <f>'Detailed Report'!AU176/1.14</f>
        <v>0</v>
      </c>
      <c r="S180" s="110">
        <f>'Detailed Report'!AU176-'........... - Otlob'!R180</f>
        <v>0</v>
      </c>
    </row>
    <row r="181" spans="1:19" ht="14.45" customHeight="1" x14ac:dyDescent="0.25">
      <c r="A181" s="105">
        <f>+IF(B181="","",SUBTOTAL(3,B$8:B181))</f>
        <v>174</v>
      </c>
      <c r="B181" s="106" t="str">
        <f>'Detailed Report'!O177</f>
        <v>Fuddruckers - New Maadi</v>
      </c>
      <c r="C181" s="107">
        <f>TRUNC('Detailed Report'!Q177,0)</f>
        <v>46028</v>
      </c>
      <c r="D181" s="108">
        <f>'Detailed Report'!P177</f>
        <v>3385187437</v>
      </c>
      <c r="E181" s="106" t="str">
        <f>'Detailed Report'!S177</f>
        <v>Successful</v>
      </c>
      <c r="F181" s="109">
        <f>IF(E181=$E$6,('Detailed Report'!Y177),IF(E181=$E$5,(0),0))</f>
        <v>909.97</v>
      </c>
      <c r="G181" s="106">
        <f>IF(E181=$E$6,('Detailed Report'!AQ177),IF(E181=$E$5,('Detailed Report'!AW177),0))</f>
        <v>798.21929999999998</v>
      </c>
      <c r="H181" s="106">
        <f>'Detailed Report'!AS177</f>
        <v>199.55483000000001</v>
      </c>
      <c r="I181" s="106">
        <f>'Detailed Report'!AT177</f>
        <v>27.937676199999999</v>
      </c>
      <c r="J181" s="106">
        <f>'Detailed Report'!AO177</f>
        <v>15.924474999999999</v>
      </c>
      <c r="K181" s="106">
        <f>'Detailed Report'!AP177</f>
        <v>2.2294265000000002</v>
      </c>
      <c r="L181" s="106">
        <f>'Detailed Report'!AU177/1.14</f>
        <v>26.307017543859651</v>
      </c>
      <c r="M181" s="106">
        <f>'Detailed Report'!AU177-L181</f>
        <v>3.6829824561403477</v>
      </c>
      <c r="N181" s="110">
        <f>'Detailed Report'!AW177</f>
        <v>634.33399999999995</v>
      </c>
      <c r="O181" s="111">
        <f t="shared" si="48"/>
        <v>163.88530000000003</v>
      </c>
      <c r="P181" s="110">
        <f>'Detailed Report'!AM177</f>
        <v>0</v>
      </c>
      <c r="Q181" s="110">
        <f>'Detailed Report'!AN177</f>
        <v>0</v>
      </c>
      <c r="R181" s="110">
        <f>'Detailed Report'!AU177/1.14</f>
        <v>26.307017543859651</v>
      </c>
      <c r="S181" s="110">
        <f>'Detailed Report'!AU177-'........... - Otlob'!R181</f>
        <v>3.6829824561403477</v>
      </c>
    </row>
    <row r="182" spans="1:19" ht="14.45" customHeight="1" x14ac:dyDescent="0.25">
      <c r="A182" s="105">
        <f>+IF(B182="","",SUBTOTAL(3,B$8:B182))</f>
        <v>175</v>
      </c>
      <c r="B182" s="106" t="str">
        <f>'Detailed Report'!O178</f>
        <v>Fuddruckers - Concord Plaza Mall</v>
      </c>
      <c r="C182" s="107">
        <f>TRUNC('Detailed Report'!Q178,0)</f>
        <v>46028</v>
      </c>
      <c r="D182" s="108">
        <f>'Detailed Report'!P178</f>
        <v>3385299630</v>
      </c>
      <c r="E182" s="106" t="str">
        <f>'Detailed Report'!S178</f>
        <v>Successful</v>
      </c>
      <c r="F182" s="109">
        <f>IF(E182=$E$6,('Detailed Report'!Y178),IF(E182=$E$5,(0),0))</f>
        <v>883.97</v>
      </c>
      <c r="G182" s="106">
        <f>IF(E182=$E$6,('Detailed Report'!AQ178),IF(E182=$E$5,('Detailed Report'!AW178),0))</f>
        <v>775.41228000000001</v>
      </c>
      <c r="H182" s="106">
        <f>'Detailed Report'!AS178</f>
        <v>193.85307</v>
      </c>
      <c r="I182" s="106">
        <f>'Detailed Report'!AT178</f>
        <v>27.139429799999998</v>
      </c>
      <c r="J182" s="106">
        <f>'Detailed Report'!AO178</f>
        <v>15.469474999999999</v>
      </c>
      <c r="K182" s="106">
        <f>'Detailed Report'!AP178</f>
        <v>2.1657264999999999</v>
      </c>
      <c r="L182" s="106">
        <f>'Detailed Report'!AU178/1.14</f>
        <v>0</v>
      </c>
      <c r="M182" s="106">
        <f>'Detailed Report'!AU178-L182</f>
        <v>0</v>
      </c>
      <c r="N182" s="110">
        <f>'Detailed Report'!AW178</f>
        <v>645.34199999999998</v>
      </c>
      <c r="O182" s="111">
        <f t="shared" si="48"/>
        <v>130.07028000000003</v>
      </c>
      <c r="P182" s="110">
        <f>'Detailed Report'!AM178</f>
        <v>0</v>
      </c>
      <c r="Q182" s="110">
        <f>'Detailed Report'!AN178</f>
        <v>0</v>
      </c>
      <c r="R182" s="110">
        <f>'Detailed Report'!AU178/1.14</f>
        <v>0</v>
      </c>
      <c r="S182" s="110">
        <f>'Detailed Report'!AU178-'........... - Otlob'!R182</f>
        <v>0</v>
      </c>
    </row>
    <row r="183" spans="1:19" ht="14.45" customHeight="1" x14ac:dyDescent="0.25">
      <c r="A183" s="105">
        <f>+IF(B183="","",SUBTOTAL(3,B$8:B183))</f>
        <v>176</v>
      </c>
      <c r="B183" s="106" t="str">
        <f>'Detailed Report'!O179</f>
        <v>Fuddruckers - Concord Plaza Mall</v>
      </c>
      <c r="C183" s="107">
        <f>TRUNC('Detailed Report'!Q179,0)</f>
        <v>46028</v>
      </c>
      <c r="D183" s="108">
        <f>'Detailed Report'!P179</f>
        <v>3385343026</v>
      </c>
      <c r="E183" s="106" t="str">
        <f>'Detailed Report'!S179</f>
        <v>Successful</v>
      </c>
      <c r="F183" s="109">
        <f>IF(E183=$E$6,('Detailed Report'!Y179),IF(E183=$E$5,(0),0))</f>
        <v>3828.39</v>
      </c>
      <c r="G183" s="106">
        <f>IF(E183=$E$6,('Detailed Report'!AQ179),IF(E183=$E$5,('Detailed Report'!AW179),0))</f>
        <v>3358.23684</v>
      </c>
      <c r="H183" s="106">
        <f>'Detailed Report'!AS179</f>
        <v>839.55921000000001</v>
      </c>
      <c r="I183" s="106">
        <f>'Detailed Report'!AT179</f>
        <v>117.5382894</v>
      </c>
      <c r="J183" s="106">
        <f>'Detailed Report'!AO179</f>
        <v>66.996826749999997</v>
      </c>
      <c r="K183" s="106">
        <f>'Detailed Report'!AP179</f>
        <v>9.3795557449999993</v>
      </c>
      <c r="L183" s="106">
        <f>'Detailed Report'!AU179/1.14</f>
        <v>0</v>
      </c>
      <c r="M183" s="106">
        <f>'Detailed Report'!AU179-L183</f>
        <v>0</v>
      </c>
      <c r="N183" s="110">
        <f>'Detailed Report'!AW179</f>
        <v>2760.7159999999999</v>
      </c>
      <c r="O183" s="111">
        <f t="shared" si="48"/>
        <v>597.52084000000013</v>
      </c>
      <c r="P183" s="110">
        <f>'Detailed Report'!AM179</f>
        <v>30</v>
      </c>
      <c r="Q183" s="110">
        <f>'Detailed Report'!AN179</f>
        <v>4.2</v>
      </c>
      <c r="R183" s="110">
        <f>'Detailed Report'!AU179/1.14</f>
        <v>0</v>
      </c>
      <c r="S183" s="110">
        <f>'Detailed Report'!AU179-'........... - Otlob'!R183</f>
        <v>0</v>
      </c>
    </row>
    <row r="184" spans="1:19" ht="14.45" customHeight="1" x14ac:dyDescent="0.25">
      <c r="A184" s="105">
        <f>+IF(B184="","",SUBTOTAL(3,B$8:B184))</f>
        <v>177</v>
      </c>
      <c r="B184" s="106" t="str">
        <f>'Detailed Report'!O180</f>
        <v>Fuddruckers - City Stars</v>
      </c>
      <c r="C184" s="107">
        <f>TRUNC('Detailed Report'!Q180,0)</f>
        <v>46028</v>
      </c>
      <c r="D184" s="108">
        <f>'Detailed Report'!P180</f>
        <v>3385427759</v>
      </c>
      <c r="E184" s="106" t="str">
        <f>'Detailed Report'!S180</f>
        <v>Successful</v>
      </c>
      <c r="F184" s="109">
        <f>IF(E184=$E$6,('Detailed Report'!Y180),IF(E184=$E$5,(0),0))</f>
        <v>355</v>
      </c>
      <c r="G184" s="106">
        <f>IF(E184=$E$6,('Detailed Report'!AQ180),IF(E184=$E$5,('Detailed Report'!AW180),0))</f>
        <v>311.40350999999998</v>
      </c>
      <c r="H184" s="106">
        <f>'Detailed Report'!AS180</f>
        <v>77.850880000000004</v>
      </c>
      <c r="I184" s="106">
        <f>'Detailed Report'!AT180</f>
        <v>10.8991232</v>
      </c>
      <c r="J184" s="106">
        <f>'Detailed Report'!AO180</f>
        <v>6.2125000000000004</v>
      </c>
      <c r="K184" s="106">
        <f>'Detailed Report'!AP180</f>
        <v>0.86975000000000002</v>
      </c>
      <c r="L184" s="106">
        <f>'Detailed Report'!AU180/1.14</f>
        <v>23.67543859649123</v>
      </c>
      <c r="M184" s="106">
        <f>'Detailed Report'!AU180-L184</f>
        <v>3.3145614035087689</v>
      </c>
      <c r="N184" s="110">
        <f>'Detailed Report'!AW180</f>
        <v>232.178</v>
      </c>
      <c r="O184" s="111">
        <f t="shared" si="48"/>
        <v>79.225509999999986</v>
      </c>
      <c r="P184" s="110">
        <f>'Detailed Report'!AM180</f>
        <v>0</v>
      </c>
      <c r="Q184" s="110">
        <f>'Detailed Report'!AN180</f>
        <v>0</v>
      </c>
      <c r="R184" s="110">
        <f>'Detailed Report'!AU180/1.14</f>
        <v>23.67543859649123</v>
      </c>
      <c r="S184" s="110">
        <f>'Detailed Report'!AU180-'........... - Otlob'!R184</f>
        <v>3.3145614035087689</v>
      </c>
    </row>
    <row r="185" spans="1:19" ht="14.45" customHeight="1" x14ac:dyDescent="0.25">
      <c r="A185" s="105">
        <f>+IF(B185="","",SUBTOTAL(3,B$8:B185))</f>
        <v>178</v>
      </c>
      <c r="B185" s="106" t="str">
        <f>'Detailed Report'!O181</f>
        <v>Fuddruckers - Concord Plaza Mall</v>
      </c>
      <c r="C185" s="107">
        <f>TRUNC('Detailed Report'!Q181,0)</f>
        <v>46028</v>
      </c>
      <c r="D185" s="108">
        <f>'Detailed Report'!P181</f>
        <v>3385491744</v>
      </c>
      <c r="E185" s="106" t="str">
        <f>'Detailed Report'!S181</f>
        <v>Successful</v>
      </c>
      <c r="F185" s="109">
        <f>IF(E185=$E$6,('Detailed Report'!Y181),IF(E185=$E$5,(0),0))</f>
        <v>542.48</v>
      </c>
      <c r="G185" s="106">
        <f>IF(E185=$E$6,('Detailed Report'!AQ181),IF(E185=$E$5,('Detailed Report'!AW181),0))</f>
        <v>475.85964999999999</v>
      </c>
      <c r="H185" s="106">
        <f>'Detailed Report'!AS181</f>
        <v>118.96491</v>
      </c>
      <c r="I185" s="106">
        <f>'Detailed Report'!AT181</f>
        <v>16.655087399999999</v>
      </c>
      <c r="J185" s="106">
        <f>'Detailed Report'!AO181</f>
        <v>9.4933999999999994</v>
      </c>
      <c r="K185" s="106">
        <f>'Detailed Report'!AP181</f>
        <v>1.3290759999999999</v>
      </c>
      <c r="L185" s="106">
        <f>'Detailed Report'!AU181/1.14</f>
        <v>27.184210526315791</v>
      </c>
      <c r="M185" s="106">
        <f>'Detailed Report'!AU181-L185</f>
        <v>3.8057894736842073</v>
      </c>
      <c r="N185" s="110">
        <f>'Detailed Report'!AW181</f>
        <v>365.048</v>
      </c>
      <c r="O185" s="111">
        <f t="shared" si="48"/>
        <v>110.81164999999999</v>
      </c>
      <c r="P185" s="110">
        <f>'Detailed Report'!AM181</f>
        <v>0</v>
      </c>
      <c r="Q185" s="110">
        <f>'Detailed Report'!AN181</f>
        <v>0</v>
      </c>
      <c r="R185" s="110">
        <f>'Detailed Report'!AU181/1.14</f>
        <v>27.184210526315791</v>
      </c>
      <c r="S185" s="110">
        <f>'Detailed Report'!AU181-'........... - Otlob'!R185</f>
        <v>3.8057894736842073</v>
      </c>
    </row>
    <row r="186" spans="1:19" ht="14.45" customHeight="1" x14ac:dyDescent="0.25">
      <c r="A186" s="105">
        <f>+IF(B186="","",SUBTOTAL(3,B$8:B186))</f>
        <v>179</v>
      </c>
      <c r="B186" s="106" t="str">
        <f>'Detailed Report'!O182</f>
        <v>Fuddruckers - New Maadi</v>
      </c>
      <c r="C186" s="107">
        <f>TRUNC('Detailed Report'!Q182,0)</f>
        <v>46029</v>
      </c>
      <c r="D186" s="108">
        <f>'Detailed Report'!P182</f>
        <v>3385998410</v>
      </c>
      <c r="E186" s="106" t="str">
        <f>'Detailed Report'!S182</f>
        <v>Successful</v>
      </c>
      <c r="F186" s="109">
        <f>IF(E186=$E$6,('Detailed Report'!Y182),IF(E186=$E$5,(0),0))</f>
        <v>453.99</v>
      </c>
      <c r="G186" s="106">
        <f>IF(E186=$E$6,('Detailed Report'!AQ182),IF(E186=$E$5,('Detailed Report'!AW182),0))</f>
        <v>398.23683999999997</v>
      </c>
      <c r="H186" s="106">
        <f>'Detailed Report'!AS182</f>
        <v>99.559209999999993</v>
      </c>
      <c r="I186" s="106">
        <f>'Detailed Report'!AT182</f>
        <v>13.9382894</v>
      </c>
      <c r="J186" s="106">
        <f>'Detailed Report'!AO182</f>
        <v>7.9448249999999998</v>
      </c>
      <c r="K186" s="106">
        <f>'Detailed Report'!AP182</f>
        <v>1.1122755</v>
      </c>
      <c r="L186" s="106">
        <f>'Detailed Report'!AU182/1.14</f>
        <v>0</v>
      </c>
      <c r="M186" s="106">
        <f>'Detailed Report'!AU182-L186</f>
        <v>0</v>
      </c>
      <c r="N186" s="110">
        <f>'Detailed Report'!AW182</f>
        <v>331.435</v>
      </c>
      <c r="O186" s="111">
        <f t="shared" si="48"/>
        <v>66.80183999999997</v>
      </c>
      <c r="P186" s="110">
        <f>'Detailed Report'!AM182</f>
        <v>0</v>
      </c>
      <c r="Q186" s="110">
        <f>'Detailed Report'!AN182</f>
        <v>0</v>
      </c>
      <c r="R186" s="110">
        <f>'Detailed Report'!AU182/1.14</f>
        <v>0</v>
      </c>
      <c r="S186" s="110">
        <f>'Detailed Report'!AU182-'........... - Otlob'!R186</f>
        <v>0</v>
      </c>
    </row>
    <row r="187" spans="1:19" ht="14.45" customHeight="1" x14ac:dyDescent="0.25">
      <c r="A187" s="105">
        <f>+IF(B187="","",SUBTOTAL(3,B$8:B187))</f>
        <v>180</v>
      </c>
      <c r="B187" s="106" t="str">
        <f>'Detailed Report'!O183</f>
        <v>Fuddruckers - New Maadi</v>
      </c>
      <c r="C187" s="107">
        <f>TRUNC('Detailed Report'!Q183,0)</f>
        <v>46029</v>
      </c>
      <c r="D187" s="108">
        <f>'Detailed Report'!P183</f>
        <v>3386032252</v>
      </c>
      <c r="E187" s="106" t="str">
        <f>'Detailed Report'!S183</f>
        <v>Successful</v>
      </c>
      <c r="F187" s="109">
        <f>IF(E187=$E$6,('Detailed Report'!Y183),IF(E187=$E$5,(0),0))</f>
        <v>704</v>
      </c>
      <c r="G187" s="106">
        <f>IF(E187=$E$6,('Detailed Report'!AQ183),IF(E187=$E$5,('Detailed Report'!AW183),0))</f>
        <v>617.54386</v>
      </c>
      <c r="H187" s="106">
        <f>'Detailed Report'!AS183</f>
        <v>154.38596999999999</v>
      </c>
      <c r="I187" s="106">
        <f>'Detailed Report'!AT183</f>
        <v>21.6140358</v>
      </c>
      <c r="J187" s="106">
        <f>'Detailed Report'!AO183</f>
        <v>12.32</v>
      </c>
      <c r="K187" s="106">
        <f>'Detailed Report'!AP183</f>
        <v>1.7248000000000001</v>
      </c>
      <c r="L187" s="106">
        <f>'Detailed Report'!AU183/1.14</f>
        <v>0</v>
      </c>
      <c r="M187" s="106">
        <f>'Detailed Report'!AU183-L187</f>
        <v>0</v>
      </c>
      <c r="N187" s="110">
        <f>'Detailed Report'!AW183</f>
        <v>513.95500000000004</v>
      </c>
      <c r="O187" s="111">
        <f t="shared" si="48"/>
        <v>103.58885999999995</v>
      </c>
      <c r="P187" s="110">
        <f>'Detailed Report'!AM183</f>
        <v>0</v>
      </c>
      <c r="Q187" s="110">
        <f>'Detailed Report'!AN183</f>
        <v>0</v>
      </c>
      <c r="R187" s="110">
        <f>'Detailed Report'!AU183/1.14</f>
        <v>0</v>
      </c>
      <c r="S187" s="110">
        <f>'Detailed Report'!AU183-'........... - Otlob'!R187</f>
        <v>0</v>
      </c>
    </row>
    <row r="188" spans="1:19" ht="14.45" customHeight="1" x14ac:dyDescent="0.25">
      <c r="A188" s="105">
        <f>+IF(B188="","",SUBTOTAL(3,B$8:B188))</f>
        <v>181</v>
      </c>
      <c r="B188" s="106" t="str">
        <f>'Detailed Report'!O184</f>
        <v>Fuddruckers - Concord Plaza Mall</v>
      </c>
      <c r="C188" s="107">
        <f>TRUNC('Detailed Report'!Q184,0)</f>
        <v>46029</v>
      </c>
      <c r="D188" s="108">
        <f>'Detailed Report'!P184</f>
        <v>3386102725</v>
      </c>
      <c r="E188" s="106" t="str">
        <f>'Detailed Report'!S184</f>
        <v>Successful</v>
      </c>
      <c r="F188" s="109">
        <f>IF(E188=$E$6,('Detailed Report'!Y184),IF(E188=$E$5,(0),0))</f>
        <v>638</v>
      </c>
      <c r="G188" s="106">
        <f>IF(E188=$E$6,('Detailed Report'!AQ184),IF(E188=$E$5,('Detailed Report'!AW184),0))</f>
        <v>559.64912000000004</v>
      </c>
      <c r="H188" s="106">
        <f>'Detailed Report'!AS184</f>
        <v>139.91228000000001</v>
      </c>
      <c r="I188" s="106">
        <f>'Detailed Report'!AT184</f>
        <v>19.587719199999999</v>
      </c>
      <c r="J188" s="106">
        <f>'Detailed Report'!AO184</f>
        <v>0</v>
      </c>
      <c r="K188" s="106">
        <f>'Detailed Report'!AP184</f>
        <v>0</v>
      </c>
      <c r="L188" s="106">
        <f>'Detailed Report'!AU184/1.14</f>
        <v>0</v>
      </c>
      <c r="M188" s="106">
        <f>'Detailed Report'!AU184-L188</f>
        <v>0</v>
      </c>
      <c r="N188" s="110">
        <f>'Detailed Report'!AW184</f>
        <v>444.3</v>
      </c>
      <c r="O188" s="111">
        <f t="shared" si="48"/>
        <v>115.34912000000003</v>
      </c>
      <c r="P188" s="110">
        <f>'Detailed Report'!AM184</f>
        <v>30</v>
      </c>
      <c r="Q188" s="110">
        <f>'Detailed Report'!AN184</f>
        <v>4.2</v>
      </c>
      <c r="R188" s="110">
        <f>'Detailed Report'!AU184/1.14</f>
        <v>0</v>
      </c>
      <c r="S188" s="110">
        <f>'Detailed Report'!AU184-'........... - Otlob'!R188</f>
        <v>0</v>
      </c>
    </row>
    <row r="189" spans="1:19" ht="14.45" customHeight="1" x14ac:dyDescent="0.25">
      <c r="A189" s="105">
        <f>+IF(B189="","",SUBTOTAL(3,B$8:B189))</f>
        <v>182</v>
      </c>
      <c r="B189" s="106" t="str">
        <f>'Detailed Report'!O185</f>
        <v>Fuddruckers - New Maadi</v>
      </c>
      <c r="C189" s="107">
        <f>TRUNC('Detailed Report'!Q185,0)</f>
        <v>46029</v>
      </c>
      <c r="D189" s="108">
        <f>'Detailed Report'!P185</f>
        <v>3386188149</v>
      </c>
      <c r="E189" s="106" t="str">
        <f>'Detailed Report'!S185</f>
        <v>Successful</v>
      </c>
      <c r="F189" s="109">
        <f>IF(E189=$E$6,('Detailed Report'!Y185),IF(E189=$E$5,(0),0))</f>
        <v>409.98</v>
      </c>
      <c r="G189" s="106">
        <f>IF(E189=$E$6,('Detailed Report'!AQ185),IF(E189=$E$5,('Detailed Report'!AW185),0))</f>
        <v>359.63157999999999</v>
      </c>
      <c r="H189" s="106">
        <f>'Detailed Report'!AS185</f>
        <v>89.907899999999998</v>
      </c>
      <c r="I189" s="106">
        <f>'Detailed Report'!AT185</f>
        <v>12.587106</v>
      </c>
      <c r="J189" s="106">
        <f>'Detailed Report'!AO185</f>
        <v>0</v>
      </c>
      <c r="K189" s="106">
        <f>'Detailed Report'!AP185</f>
        <v>0</v>
      </c>
      <c r="L189" s="106">
        <f>'Detailed Report'!AU185/1.14</f>
        <v>27.184210526315791</v>
      </c>
      <c r="M189" s="106">
        <f>'Detailed Report'!AU185-L189</f>
        <v>3.8057894736842073</v>
      </c>
      <c r="N189" s="110">
        <f>'Detailed Report'!AW185</f>
        <v>276.495</v>
      </c>
      <c r="O189" s="111">
        <f t="shared" si="48"/>
        <v>83.136579999999981</v>
      </c>
      <c r="P189" s="110">
        <f>'Detailed Report'!AM185</f>
        <v>0</v>
      </c>
      <c r="Q189" s="110">
        <f>'Detailed Report'!AN185</f>
        <v>0</v>
      </c>
      <c r="R189" s="110">
        <f>'Detailed Report'!AU185/1.14</f>
        <v>27.184210526315791</v>
      </c>
      <c r="S189" s="110">
        <f>'Detailed Report'!AU185-'........... - Otlob'!R189</f>
        <v>3.8057894736842073</v>
      </c>
    </row>
    <row r="190" spans="1:19" ht="14.45" customHeight="1" x14ac:dyDescent="0.25">
      <c r="A190" s="105">
        <f>+IF(B190="","",SUBTOTAL(3,B$8:B190))</f>
        <v>183</v>
      </c>
      <c r="B190" s="106" t="str">
        <f>'Detailed Report'!O186</f>
        <v>Fuddruckers - Concord Plaza Mall</v>
      </c>
      <c r="C190" s="107">
        <f>TRUNC('Detailed Report'!Q186,0)</f>
        <v>46029</v>
      </c>
      <c r="D190" s="108">
        <f>'Detailed Report'!P186</f>
        <v>3386299969</v>
      </c>
      <c r="E190" s="106" t="str">
        <f>'Detailed Report'!S186</f>
        <v>Successful</v>
      </c>
      <c r="F190" s="109">
        <f>IF(E190=$E$6,('Detailed Report'!Y186),IF(E190=$E$5,(0),0))</f>
        <v>596.97</v>
      </c>
      <c r="G190" s="106">
        <f>IF(E190=$E$6,('Detailed Report'!AQ186),IF(E190=$E$5,('Detailed Report'!AW186),0))</f>
        <v>523.65788999999995</v>
      </c>
      <c r="H190" s="106">
        <f>'Detailed Report'!AS186</f>
        <v>130.91446999999999</v>
      </c>
      <c r="I190" s="106">
        <f>'Detailed Report'!AT186</f>
        <v>18.328025799999999</v>
      </c>
      <c r="J190" s="106">
        <f>'Detailed Report'!AO186</f>
        <v>10.446975</v>
      </c>
      <c r="K190" s="106">
        <f>'Detailed Report'!AP186</f>
        <v>1.4625764999999999</v>
      </c>
      <c r="L190" s="106">
        <f>'Detailed Report'!AU186/1.14</f>
        <v>28.938596491228076</v>
      </c>
      <c r="M190" s="106">
        <f>'Detailed Report'!AU186-L190</f>
        <v>4.0514035087719265</v>
      </c>
      <c r="N190" s="110">
        <f>'Detailed Report'!AW186</f>
        <v>402.82799999999997</v>
      </c>
      <c r="O190" s="111">
        <f t="shared" si="48"/>
        <v>120.82988999999998</v>
      </c>
      <c r="P190" s="110">
        <f>'Detailed Report'!AM186</f>
        <v>0</v>
      </c>
      <c r="Q190" s="110">
        <f>'Detailed Report'!AN186</f>
        <v>0</v>
      </c>
      <c r="R190" s="110">
        <f>'Detailed Report'!AU186/1.14</f>
        <v>28.938596491228076</v>
      </c>
      <c r="S190" s="110">
        <f>'Detailed Report'!AU186-'........... - Otlob'!R190</f>
        <v>4.0514035087719265</v>
      </c>
    </row>
    <row r="191" spans="1:19" ht="14.45" customHeight="1" x14ac:dyDescent="0.25">
      <c r="A191" s="105">
        <f>+IF(B191="","",SUBTOTAL(3,B$8:B191))</f>
        <v>184</v>
      </c>
      <c r="B191" s="106" t="str">
        <f>'Detailed Report'!O187</f>
        <v>Fuddruckers - New Maadi</v>
      </c>
      <c r="C191" s="107">
        <f>TRUNC('Detailed Report'!Q187,0)</f>
        <v>46029</v>
      </c>
      <c r="D191" s="108">
        <f>'Detailed Report'!P187</f>
        <v>3386348358</v>
      </c>
      <c r="E191" s="106" t="str">
        <f>'Detailed Report'!S187</f>
        <v>Successful</v>
      </c>
      <c r="F191" s="109">
        <f>IF(E191=$E$6,('Detailed Report'!Y187),IF(E191=$E$5,(0),0))</f>
        <v>949.98</v>
      </c>
      <c r="G191" s="106">
        <f>IF(E191=$E$6,('Detailed Report'!AQ187),IF(E191=$E$5,('Detailed Report'!AW187),0))</f>
        <v>833.31578999999999</v>
      </c>
      <c r="H191" s="106">
        <f>'Detailed Report'!AS187</f>
        <v>208.32894999999999</v>
      </c>
      <c r="I191" s="106">
        <f>'Detailed Report'!AT187</f>
        <v>29.166053000000002</v>
      </c>
      <c r="J191" s="106">
        <f>'Detailed Report'!AO187</f>
        <v>16.624649999999999</v>
      </c>
      <c r="K191" s="106">
        <f>'Detailed Report'!AP187</f>
        <v>2.3274509999999999</v>
      </c>
      <c r="L191" s="106">
        <f>'Detailed Report'!AU187/1.14</f>
        <v>26.307017543859651</v>
      </c>
      <c r="M191" s="106">
        <f>'Detailed Report'!AU187-L191</f>
        <v>3.6829824561403477</v>
      </c>
      <c r="N191" s="110">
        <f>'Detailed Report'!AW187</f>
        <v>663.54300000000001</v>
      </c>
      <c r="O191" s="111">
        <f t="shared" si="48"/>
        <v>169.77278999999999</v>
      </c>
      <c r="P191" s="110">
        <f>'Detailed Report'!AM187</f>
        <v>0</v>
      </c>
      <c r="Q191" s="110">
        <f>'Detailed Report'!AN187</f>
        <v>0</v>
      </c>
      <c r="R191" s="110">
        <f>'Detailed Report'!AU187/1.14</f>
        <v>26.307017543859651</v>
      </c>
      <c r="S191" s="110">
        <f>'Detailed Report'!AU187-'........... - Otlob'!R191</f>
        <v>3.6829824561403477</v>
      </c>
    </row>
    <row r="192" spans="1:19" ht="14.45" customHeight="1" x14ac:dyDescent="0.25">
      <c r="A192" s="105">
        <f>+IF(B192="","",SUBTOTAL(3,B$8:B192))</f>
        <v>185</v>
      </c>
      <c r="B192" s="106" t="str">
        <f>'Detailed Report'!O188</f>
        <v>Fuddruckers - Concord Plaza Mall</v>
      </c>
      <c r="C192" s="107">
        <f>TRUNC('Detailed Report'!Q188,0)</f>
        <v>46029</v>
      </c>
      <c r="D192" s="108">
        <f>'Detailed Report'!P188</f>
        <v>3386380480</v>
      </c>
      <c r="E192" s="106" t="str">
        <f>'Detailed Report'!S188</f>
        <v>Successful</v>
      </c>
      <c r="F192" s="109">
        <f>IF(E192=$E$6,('Detailed Report'!Y188),IF(E192=$E$5,(0),0))</f>
        <v>824.91</v>
      </c>
      <c r="G192" s="106">
        <f>IF(E192=$E$6,('Detailed Report'!AQ188),IF(E192=$E$5,('Detailed Report'!AW188),0))</f>
        <v>723.60526000000004</v>
      </c>
      <c r="H192" s="106">
        <f>'Detailed Report'!AS188</f>
        <v>180.90132</v>
      </c>
      <c r="I192" s="106">
        <f>'Detailed Report'!AT188</f>
        <v>25.3261848</v>
      </c>
      <c r="J192" s="106">
        <f>'Detailed Report'!AO188</f>
        <v>14.435924999999999</v>
      </c>
      <c r="K192" s="106">
        <f>'Detailed Report'!AP188</f>
        <v>2.0210295</v>
      </c>
      <c r="L192" s="106">
        <f>'Detailed Report'!AU188/1.14</f>
        <v>28.061403508771932</v>
      </c>
      <c r="M192" s="106">
        <f>'Detailed Report'!AU188-L192</f>
        <v>3.9285964912280669</v>
      </c>
      <c r="N192" s="110">
        <f>'Detailed Report'!AW188</f>
        <v>570.23599999999999</v>
      </c>
      <c r="O192" s="111">
        <f t="shared" si="48"/>
        <v>153.36926000000005</v>
      </c>
      <c r="P192" s="110">
        <f>'Detailed Report'!AM188</f>
        <v>0</v>
      </c>
      <c r="Q192" s="110">
        <f>'Detailed Report'!AN188</f>
        <v>0</v>
      </c>
      <c r="R192" s="110">
        <f>'Detailed Report'!AU188/1.14</f>
        <v>28.061403508771932</v>
      </c>
      <c r="S192" s="110">
        <f>'Detailed Report'!AU188-'........... - Otlob'!R192</f>
        <v>3.9285964912280669</v>
      </c>
    </row>
    <row r="193" spans="1:19" ht="14.45" customHeight="1" x14ac:dyDescent="0.25">
      <c r="A193" s="105">
        <f>+IF(B193="","",SUBTOTAL(3,B$8:B193))</f>
        <v>186</v>
      </c>
      <c r="B193" s="106" t="str">
        <f>'Detailed Report'!O189</f>
        <v>Fuddruckers - New Maadi</v>
      </c>
      <c r="C193" s="107">
        <f>TRUNC('Detailed Report'!Q189,0)</f>
        <v>46029</v>
      </c>
      <c r="D193" s="108">
        <f>'Detailed Report'!P189</f>
        <v>3386491216</v>
      </c>
      <c r="E193" s="106" t="str">
        <f>'Detailed Report'!S189</f>
        <v>Successful</v>
      </c>
      <c r="F193" s="109">
        <f>IF(E193=$E$6,('Detailed Report'!Y189),IF(E193=$E$5,(0),0))</f>
        <v>760.98</v>
      </c>
      <c r="G193" s="106">
        <f>IF(E193=$E$6,('Detailed Report'!AQ189),IF(E193=$E$5,('Detailed Report'!AW189),0))</f>
        <v>667.52632000000006</v>
      </c>
      <c r="H193" s="106">
        <f>'Detailed Report'!AS189</f>
        <v>166.88158000000001</v>
      </c>
      <c r="I193" s="106">
        <f>'Detailed Report'!AT189</f>
        <v>23.363421200000001</v>
      </c>
      <c r="J193" s="106">
        <f>'Detailed Report'!AO189</f>
        <v>0</v>
      </c>
      <c r="K193" s="106">
        <f>'Detailed Report'!AP189</f>
        <v>0</v>
      </c>
      <c r="L193" s="106">
        <f>'Detailed Report'!AU189/1.14</f>
        <v>25.42982456140351</v>
      </c>
      <c r="M193" s="106">
        <f>'Detailed Report'!AU189-L193</f>
        <v>3.5601754385964881</v>
      </c>
      <c r="N193" s="110">
        <f>'Detailed Report'!AW189</f>
        <v>541.745</v>
      </c>
      <c r="O193" s="111">
        <f t="shared" si="48"/>
        <v>125.78132000000005</v>
      </c>
      <c r="P193" s="110">
        <f>'Detailed Report'!AM189</f>
        <v>0</v>
      </c>
      <c r="Q193" s="110">
        <f>'Detailed Report'!AN189</f>
        <v>0</v>
      </c>
      <c r="R193" s="110">
        <f>'Detailed Report'!AU189/1.14</f>
        <v>25.42982456140351</v>
      </c>
      <c r="S193" s="110">
        <f>'Detailed Report'!AU189-'........... - Otlob'!R193</f>
        <v>3.5601754385964881</v>
      </c>
    </row>
    <row r="194" spans="1:19" ht="14.45" customHeight="1" x14ac:dyDescent="0.25">
      <c r="A194" s="105">
        <f>+IF(B194="","",SUBTOTAL(3,B$8:B194))</f>
        <v>187</v>
      </c>
      <c r="B194" s="106" t="str">
        <f>'Detailed Report'!O190</f>
        <v>Fuddruckers - Concord Plaza Mall</v>
      </c>
      <c r="C194" s="107">
        <f>TRUNC('Detailed Report'!Q190,0)</f>
        <v>46029</v>
      </c>
      <c r="D194" s="108">
        <f>'Detailed Report'!P190</f>
        <v>3386526613</v>
      </c>
      <c r="E194" s="106" t="str">
        <f>'Detailed Report'!S190</f>
        <v>Successful</v>
      </c>
      <c r="F194" s="109">
        <f>IF(E194=$E$6,('Detailed Report'!Y190),IF(E194=$E$5,(0),0))</f>
        <v>844</v>
      </c>
      <c r="G194" s="106">
        <f>IF(E194=$E$6,('Detailed Report'!AQ190),IF(E194=$E$5,('Detailed Report'!AW190),0))</f>
        <v>740.35087999999996</v>
      </c>
      <c r="H194" s="106">
        <f>'Detailed Report'!AS190</f>
        <v>185.08771999999999</v>
      </c>
      <c r="I194" s="106">
        <f>'Detailed Report'!AT190</f>
        <v>25.912280800000001</v>
      </c>
      <c r="J194" s="106">
        <f>'Detailed Report'!AO190</f>
        <v>14.77</v>
      </c>
      <c r="K194" s="106">
        <f>'Detailed Report'!AP190</f>
        <v>2.0678000000000001</v>
      </c>
      <c r="L194" s="106">
        <f>'Detailed Report'!AU190/1.14</f>
        <v>29.815789473684216</v>
      </c>
      <c r="M194" s="106">
        <f>'Detailed Report'!AU190-L194</f>
        <v>4.174210526315786</v>
      </c>
      <c r="N194" s="110">
        <f>'Detailed Report'!AW190</f>
        <v>582.17200000000003</v>
      </c>
      <c r="O194" s="111">
        <f t="shared" si="48"/>
        <v>158.17887999999994</v>
      </c>
      <c r="P194" s="110">
        <f>'Detailed Report'!AM190</f>
        <v>0</v>
      </c>
      <c r="Q194" s="110">
        <f>'Detailed Report'!AN190</f>
        <v>0</v>
      </c>
      <c r="R194" s="110">
        <f>'Detailed Report'!AU190/1.14</f>
        <v>29.815789473684216</v>
      </c>
      <c r="S194" s="110">
        <f>'Detailed Report'!AU190-'........... - Otlob'!R194</f>
        <v>4.174210526315786</v>
      </c>
    </row>
    <row r="195" spans="1:19" ht="14.45" customHeight="1" x14ac:dyDescent="0.25">
      <c r="A195" s="105">
        <f>+IF(B195="","",SUBTOTAL(3,B$8:B195))</f>
        <v>188</v>
      </c>
      <c r="B195" s="106" t="str">
        <f>'Detailed Report'!O191</f>
        <v>Fuddruckers - City Stars</v>
      </c>
      <c r="C195" s="107">
        <f>TRUNC('Detailed Report'!Q191,0)</f>
        <v>46029</v>
      </c>
      <c r="D195" s="108">
        <f>'Detailed Report'!P191</f>
        <v>3386643246</v>
      </c>
      <c r="E195" s="106" t="str">
        <f>'Detailed Report'!S191</f>
        <v>Successful</v>
      </c>
      <c r="F195" s="109">
        <f>IF(E195=$E$6,('Detailed Report'!Y191),IF(E195=$E$5,(0),0))</f>
        <v>518.99</v>
      </c>
      <c r="G195" s="106">
        <f>IF(E195=$E$6,('Detailed Report'!AQ191),IF(E195=$E$5,('Detailed Report'!AW191),0))</f>
        <v>455.25439</v>
      </c>
      <c r="H195" s="106">
        <f>'Detailed Report'!AS191</f>
        <v>113.81359999999999</v>
      </c>
      <c r="I195" s="106">
        <f>'Detailed Report'!AT191</f>
        <v>15.933904</v>
      </c>
      <c r="J195" s="106">
        <f>'Detailed Report'!AO191</f>
        <v>0</v>
      </c>
      <c r="K195" s="106">
        <f>'Detailed Report'!AP191</f>
        <v>0</v>
      </c>
      <c r="L195" s="106">
        <f>'Detailed Report'!AU191/1.14</f>
        <v>23.67543859649123</v>
      </c>
      <c r="M195" s="106">
        <f>'Detailed Report'!AU191-L195</f>
        <v>3.3145614035087689</v>
      </c>
      <c r="N195" s="110">
        <f>'Detailed Report'!AW191</f>
        <v>362.25200000000001</v>
      </c>
      <c r="O195" s="111">
        <f t="shared" si="48"/>
        <v>93.002389999999991</v>
      </c>
      <c r="P195" s="110">
        <f>'Detailed Report'!AM191</f>
        <v>0</v>
      </c>
      <c r="Q195" s="110">
        <f>'Detailed Report'!AN191</f>
        <v>0</v>
      </c>
      <c r="R195" s="110">
        <f>'Detailed Report'!AU191/1.14</f>
        <v>23.67543859649123</v>
      </c>
      <c r="S195" s="110">
        <f>'Detailed Report'!AU191-'........... - Otlob'!R195</f>
        <v>3.3145614035087689</v>
      </c>
    </row>
    <row r="196" spans="1:19" ht="14.45" customHeight="1" x14ac:dyDescent="0.25">
      <c r="A196" s="105">
        <f>+IF(B196="","",SUBTOTAL(3,B$8:B196))</f>
        <v>189</v>
      </c>
      <c r="B196" s="106" t="str">
        <f>'Detailed Report'!O192</f>
        <v>Fuddruckers - New Maadi</v>
      </c>
      <c r="C196" s="107">
        <f>TRUNC('Detailed Report'!Q192,0)</f>
        <v>46029</v>
      </c>
      <c r="D196" s="108">
        <f>'Detailed Report'!P192</f>
        <v>3386680306</v>
      </c>
      <c r="E196" s="106" t="str">
        <f>'Detailed Report'!S192</f>
        <v>Successful</v>
      </c>
      <c r="F196" s="109">
        <f>IF(E196=$E$6,('Detailed Report'!Y192),IF(E196=$E$5,(0),0))</f>
        <v>353.99</v>
      </c>
      <c r="G196" s="106">
        <f>IF(E196=$E$6,('Detailed Report'!AQ192),IF(E196=$E$5,('Detailed Report'!AW192),0))</f>
        <v>310.51754</v>
      </c>
      <c r="H196" s="106">
        <f>'Detailed Report'!AS192</f>
        <v>77.629390000000001</v>
      </c>
      <c r="I196" s="106">
        <f>'Detailed Report'!AT192</f>
        <v>10.8681146</v>
      </c>
      <c r="J196" s="106">
        <f>'Detailed Report'!AO192</f>
        <v>6.1948249999999998</v>
      </c>
      <c r="K196" s="106">
        <f>'Detailed Report'!AP192</f>
        <v>0.86727549999999998</v>
      </c>
      <c r="L196" s="106">
        <f>'Detailed Report'!AU192/1.14</f>
        <v>27.184210526315791</v>
      </c>
      <c r="M196" s="106">
        <f>'Detailed Report'!AU192-L196</f>
        <v>3.8057894736842073</v>
      </c>
      <c r="N196" s="110">
        <f>'Detailed Report'!AW192</f>
        <v>227.44</v>
      </c>
      <c r="O196" s="111">
        <f t="shared" si="48"/>
        <v>83.077539999999999</v>
      </c>
      <c r="P196" s="110">
        <f>'Detailed Report'!AM192</f>
        <v>0</v>
      </c>
      <c r="Q196" s="110">
        <f>'Detailed Report'!AN192</f>
        <v>0</v>
      </c>
      <c r="R196" s="110">
        <f>'Detailed Report'!AU192/1.14</f>
        <v>27.184210526315791</v>
      </c>
      <c r="S196" s="110">
        <f>'Detailed Report'!AU192-'........... - Otlob'!R196</f>
        <v>3.8057894736842073</v>
      </c>
    </row>
    <row r="197" spans="1:19" ht="14.45" customHeight="1" x14ac:dyDescent="0.25">
      <c r="A197" s="105">
        <f>+IF(B197="","",SUBTOTAL(3,B$8:B197))</f>
        <v>190</v>
      </c>
      <c r="B197" s="106" t="str">
        <f>'Detailed Report'!O193</f>
        <v>Fuddruckers - New Maadi</v>
      </c>
      <c r="C197" s="107">
        <f>TRUNC('Detailed Report'!Q193,0)</f>
        <v>46029</v>
      </c>
      <c r="D197" s="108">
        <f>'Detailed Report'!P193</f>
        <v>3386804403</v>
      </c>
      <c r="E197" s="106" t="str">
        <f>'Detailed Report'!S193</f>
        <v>Successful</v>
      </c>
      <c r="F197" s="109">
        <f>IF(E197=$E$6,('Detailed Report'!Y193),IF(E197=$E$5,(0),0))</f>
        <v>367.86</v>
      </c>
      <c r="G197" s="106">
        <f>IF(E197=$E$6,('Detailed Report'!AQ193),IF(E197=$E$5,('Detailed Report'!AW193),0))</f>
        <v>322.68421000000001</v>
      </c>
      <c r="H197" s="106">
        <f>'Detailed Report'!AS193</f>
        <v>80.671049999999994</v>
      </c>
      <c r="I197" s="106">
        <f>'Detailed Report'!AT193</f>
        <v>11.293946999999999</v>
      </c>
      <c r="J197" s="106">
        <f>'Detailed Report'!AO193</f>
        <v>6.4375499999999999</v>
      </c>
      <c r="K197" s="106">
        <f>'Detailed Report'!AP193</f>
        <v>0.90125699999999997</v>
      </c>
      <c r="L197" s="106">
        <f>'Detailed Report'!AU193/1.14</f>
        <v>26.307017543859651</v>
      </c>
      <c r="M197" s="106">
        <f>'Detailed Report'!AU193-L197</f>
        <v>3.6829824561403477</v>
      </c>
      <c r="N197" s="110">
        <f>'Detailed Report'!AW193</f>
        <v>238.566</v>
      </c>
      <c r="O197" s="111">
        <f t="shared" si="48"/>
        <v>84.118210000000005</v>
      </c>
      <c r="P197" s="110">
        <f>'Detailed Report'!AM193</f>
        <v>0</v>
      </c>
      <c r="Q197" s="110">
        <f>'Detailed Report'!AN193</f>
        <v>0</v>
      </c>
      <c r="R197" s="110">
        <f>'Detailed Report'!AU193/1.14</f>
        <v>26.307017543859651</v>
      </c>
      <c r="S197" s="110">
        <f>'Detailed Report'!AU193-'........... - Otlob'!R197</f>
        <v>3.6829824561403477</v>
      </c>
    </row>
    <row r="198" spans="1:19" ht="14.45" customHeight="1" x14ac:dyDescent="0.25">
      <c r="A198" s="105">
        <f>+IF(B198="","",SUBTOTAL(3,B$8:B198))</f>
        <v>191</v>
      </c>
      <c r="B198" s="106" t="str">
        <f>'Detailed Report'!O194</f>
        <v>Fuddruckers - New Maadi</v>
      </c>
      <c r="C198" s="107">
        <f>TRUNC('Detailed Report'!Q194,0)</f>
        <v>46029</v>
      </c>
      <c r="D198" s="108">
        <f>'Detailed Report'!P194</f>
        <v>3386882246</v>
      </c>
      <c r="E198" s="106" t="str">
        <f>'Detailed Report'!S194</f>
        <v>Successful</v>
      </c>
      <c r="F198" s="109">
        <f>IF(E198=$E$6,('Detailed Report'!Y194),IF(E198=$E$5,(0),0))</f>
        <v>237.99</v>
      </c>
      <c r="G198" s="106">
        <f>IF(E198=$E$6,('Detailed Report'!AQ194),IF(E198=$E$5,('Detailed Report'!AW194),0))</f>
        <v>208.76316</v>
      </c>
      <c r="H198" s="106">
        <f>'Detailed Report'!AS194</f>
        <v>52.19079</v>
      </c>
      <c r="I198" s="106">
        <f>'Detailed Report'!AT194</f>
        <v>7.3067105999999997</v>
      </c>
      <c r="J198" s="106">
        <f>'Detailed Report'!AO194</f>
        <v>0</v>
      </c>
      <c r="K198" s="106">
        <f>'Detailed Report'!AP194</f>
        <v>0</v>
      </c>
      <c r="L198" s="106">
        <f>'Detailed Report'!AU194/1.14</f>
        <v>0</v>
      </c>
      <c r="M198" s="106">
        <f>'Detailed Report'!AU194-L198</f>
        <v>0</v>
      </c>
      <c r="N198" s="110">
        <f>'Detailed Report'!AW194</f>
        <v>178.49199999999999</v>
      </c>
      <c r="O198" s="111">
        <f t="shared" si="48"/>
        <v>30.271160000000009</v>
      </c>
      <c r="P198" s="110">
        <f>'Detailed Report'!AM194</f>
        <v>0</v>
      </c>
      <c r="Q198" s="110">
        <f>'Detailed Report'!AN194</f>
        <v>0</v>
      </c>
      <c r="R198" s="110">
        <f>'Detailed Report'!AU194/1.14</f>
        <v>0</v>
      </c>
      <c r="S198" s="110">
        <f>'Detailed Report'!AU194-'........... - Otlob'!R198</f>
        <v>0</v>
      </c>
    </row>
    <row r="199" spans="1:19" ht="14.45" customHeight="1" x14ac:dyDescent="0.25">
      <c r="A199" s="105">
        <f>+IF(B199="","",SUBTOTAL(3,B$8:B199))</f>
        <v>192</v>
      </c>
      <c r="B199" s="106" t="str">
        <f>'Detailed Report'!O195</f>
        <v>Fuddruckers - New Maadi</v>
      </c>
      <c r="C199" s="107">
        <f>TRUNC('Detailed Report'!Q195,0)</f>
        <v>46029</v>
      </c>
      <c r="D199" s="108">
        <f>'Detailed Report'!P195</f>
        <v>3386911140</v>
      </c>
      <c r="E199" s="106" t="str">
        <f>'Detailed Report'!S195</f>
        <v>Successful</v>
      </c>
      <c r="F199" s="109">
        <f>IF(E199=$E$6,('Detailed Report'!Y195),IF(E199=$E$5,(0),0))</f>
        <v>739.77</v>
      </c>
      <c r="G199" s="106">
        <f>IF(E199=$E$6,('Detailed Report'!AQ195),IF(E199=$E$5,('Detailed Report'!AW195),0))</f>
        <v>648.92105000000004</v>
      </c>
      <c r="H199" s="106">
        <f>'Detailed Report'!AS195</f>
        <v>162.23025999999999</v>
      </c>
      <c r="I199" s="106">
        <f>'Detailed Report'!AT195</f>
        <v>22.712236399999998</v>
      </c>
      <c r="J199" s="106">
        <f>'Detailed Report'!AO195</f>
        <v>0</v>
      </c>
      <c r="K199" s="106">
        <f>'Detailed Report'!AP195</f>
        <v>0</v>
      </c>
      <c r="L199" s="106">
        <f>'Detailed Report'!AU195/1.14</f>
        <v>25.42982456140351</v>
      </c>
      <c r="M199" s="106">
        <f>'Detailed Report'!AU195-L199</f>
        <v>3.5601754385964881</v>
      </c>
      <c r="N199" s="110">
        <f>'Detailed Report'!AW195</f>
        <v>525.83799999999997</v>
      </c>
      <c r="O199" s="111">
        <f t="shared" si="48"/>
        <v>123.08305000000007</v>
      </c>
      <c r="P199" s="110">
        <f>'Detailed Report'!AM195</f>
        <v>0</v>
      </c>
      <c r="Q199" s="110">
        <f>'Detailed Report'!AN195</f>
        <v>0</v>
      </c>
      <c r="R199" s="110">
        <f>'Detailed Report'!AU195/1.14</f>
        <v>25.42982456140351</v>
      </c>
      <c r="S199" s="110">
        <f>'Detailed Report'!AU195-'........... - Otlob'!R199</f>
        <v>3.5601754385964881</v>
      </c>
    </row>
    <row r="200" spans="1:19" ht="14.45" customHeight="1" x14ac:dyDescent="0.25">
      <c r="A200" s="105">
        <f>+IF(B200="","",SUBTOTAL(3,B$8:B200))</f>
        <v>193</v>
      </c>
      <c r="B200" s="106" t="str">
        <f>'Detailed Report'!O196</f>
        <v>Fuddruckers - New Maadi</v>
      </c>
      <c r="C200" s="107">
        <f>TRUNC('Detailed Report'!Q196,0)</f>
        <v>46029</v>
      </c>
      <c r="D200" s="108">
        <f>'Detailed Report'!P196</f>
        <v>3387002235</v>
      </c>
      <c r="E200" s="106" t="str">
        <f>'Detailed Report'!S196</f>
        <v>Successful</v>
      </c>
      <c r="F200" s="109">
        <f>IF(E200=$E$6,('Detailed Report'!Y196),IF(E200=$E$5,(0),0))</f>
        <v>790.97</v>
      </c>
      <c r="G200" s="106">
        <f>IF(E200=$E$6,('Detailed Report'!AQ196),IF(E200=$E$5,('Detailed Report'!AW196),0))</f>
        <v>693.83333000000005</v>
      </c>
      <c r="H200" s="106">
        <f>'Detailed Report'!AS196</f>
        <v>173.45832999999999</v>
      </c>
      <c r="I200" s="106">
        <f>'Detailed Report'!AT196</f>
        <v>24.284166200000001</v>
      </c>
      <c r="J200" s="106">
        <f>'Detailed Report'!AO196</f>
        <v>13.841975</v>
      </c>
      <c r="K200" s="106">
        <f>'Detailed Report'!AP196</f>
        <v>1.9378765</v>
      </c>
      <c r="L200" s="106">
        <f>'Detailed Report'!AU196/1.14</f>
        <v>23.67543859649123</v>
      </c>
      <c r="M200" s="106">
        <f>'Detailed Report'!AU196-L200</f>
        <v>3.3145614035087689</v>
      </c>
      <c r="N200" s="110">
        <f>'Detailed Report'!AW196</f>
        <v>516.25800000000004</v>
      </c>
      <c r="O200" s="111">
        <f t="shared" si="48"/>
        <v>177.57533000000001</v>
      </c>
      <c r="P200" s="110">
        <f>'Detailed Report'!AM196</f>
        <v>30</v>
      </c>
      <c r="Q200" s="110">
        <f>'Detailed Report'!AN196</f>
        <v>4.2</v>
      </c>
      <c r="R200" s="110">
        <f>'Detailed Report'!AU196/1.14</f>
        <v>23.67543859649123</v>
      </c>
      <c r="S200" s="110">
        <f>'Detailed Report'!AU196-'........... - Otlob'!R200</f>
        <v>3.3145614035087689</v>
      </c>
    </row>
    <row r="201" spans="1:19" ht="14.45" customHeight="1" x14ac:dyDescent="0.25">
      <c r="A201" s="105">
        <f>+IF(B201="","",SUBTOTAL(3,B$8:B201))</f>
        <v>194</v>
      </c>
      <c r="B201" s="106" t="str">
        <f>'Detailed Report'!O197</f>
        <v>Fuddruckers - Concord Plaza Mall</v>
      </c>
      <c r="C201" s="107">
        <f>TRUNC('Detailed Report'!Q197,0)</f>
        <v>46029</v>
      </c>
      <c r="D201" s="108">
        <f>'Detailed Report'!P197</f>
        <v>3387041518</v>
      </c>
      <c r="E201" s="106" t="str">
        <f>'Detailed Report'!S197</f>
        <v>Successful</v>
      </c>
      <c r="F201" s="109">
        <f>IF(E201=$E$6,('Detailed Report'!Y197),IF(E201=$E$5,(0),0))</f>
        <v>396.04</v>
      </c>
      <c r="G201" s="106">
        <f>IF(E201=$E$6,('Detailed Report'!AQ197),IF(E201=$E$5,('Detailed Report'!AW197),0))</f>
        <v>347.40350999999998</v>
      </c>
      <c r="H201" s="106">
        <f>'Detailed Report'!AS197</f>
        <v>86.850880000000004</v>
      </c>
      <c r="I201" s="106">
        <f>'Detailed Report'!AT197</f>
        <v>12.1591232</v>
      </c>
      <c r="J201" s="106">
        <f>'Detailed Report'!AO197</f>
        <v>6.9306999999999999</v>
      </c>
      <c r="K201" s="106">
        <f>'Detailed Report'!AP197</f>
        <v>0.97029799999999999</v>
      </c>
      <c r="L201" s="106">
        <f>'Detailed Report'!AU197/1.14</f>
        <v>28.938596491228076</v>
      </c>
      <c r="M201" s="106">
        <f>'Detailed Report'!AU197-L201</f>
        <v>4.0514035087719265</v>
      </c>
      <c r="N201" s="110">
        <f>'Detailed Report'!AW197</f>
        <v>256.13900000000001</v>
      </c>
      <c r="O201" s="111">
        <f t="shared" ref="O201:O264" si="49">G201-N201</f>
        <v>91.264509999999973</v>
      </c>
      <c r="P201" s="110">
        <f>'Detailed Report'!AM197</f>
        <v>0</v>
      </c>
      <c r="Q201" s="110">
        <f>'Detailed Report'!AN197</f>
        <v>0</v>
      </c>
      <c r="R201" s="110">
        <f>'Detailed Report'!AU197/1.14</f>
        <v>28.938596491228076</v>
      </c>
      <c r="S201" s="110">
        <f>'Detailed Report'!AU197-'........... - Otlob'!R201</f>
        <v>4.0514035087719265</v>
      </c>
    </row>
    <row r="202" spans="1:19" ht="14.45" customHeight="1" x14ac:dyDescent="0.25">
      <c r="A202" s="105">
        <f>+IF(B202="","",SUBTOTAL(3,B$8:B202))</f>
        <v>195</v>
      </c>
      <c r="B202" s="106" t="str">
        <f>'Detailed Report'!O198</f>
        <v>Fuddruckers - Concord Plaza Mall</v>
      </c>
      <c r="C202" s="107">
        <f>TRUNC('Detailed Report'!Q198,0)</f>
        <v>46029</v>
      </c>
      <c r="D202" s="108">
        <f>'Detailed Report'!P198</f>
        <v>3387170446</v>
      </c>
      <c r="E202" s="106" t="str">
        <f>'Detailed Report'!S198</f>
        <v>Successful</v>
      </c>
      <c r="F202" s="109">
        <f>IF(E202=$E$6,('Detailed Report'!Y198),IF(E202=$E$5,(0),0))</f>
        <v>1248.1199999999999</v>
      </c>
      <c r="G202" s="106">
        <f>IF(E202=$E$6,('Detailed Report'!AQ198),IF(E202=$E$5,('Detailed Report'!AW198),0))</f>
        <v>1094.84211</v>
      </c>
      <c r="H202" s="106">
        <f>'Detailed Report'!AS198</f>
        <v>273.71053000000001</v>
      </c>
      <c r="I202" s="106">
        <f>'Detailed Report'!AT198</f>
        <v>38.319474200000002</v>
      </c>
      <c r="J202" s="106">
        <f>'Detailed Report'!AO198</f>
        <v>0</v>
      </c>
      <c r="K202" s="106">
        <f>'Detailed Report'!AP198</f>
        <v>0</v>
      </c>
      <c r="L202" s="106">
        <f>'Detailed Report'!AU198/1.14</f>
        <v>0</v>
      </c>
      <c r="M202" s="106">
        <f>'Detailed Report'!AU198-L202</f>
        <v>0</v>
      </c>
      <c r="N202" s="110">
        <f>'Detailed Report'!AW198</f>
        <v>936.09</v>
      </c>
      <c r="O202" s="111">
        <f t="shared" si="49"/>
        <v>158.75211000000002</v>
      </c>
      <c r="P202" s="110">
        <f>'Detailed Report'!AM198</f>
        <v>0</v>
      </c>
      <c r="Q202" s="110">
        <f>'Detailed Report'!AN198</f>
        <v>0</v>
      </c>
      <c r="R202" s="110">
        <f>'Detailed Report'!AU198/1.14</f>
        <v>0</v>
      </c>
      <c r="S202" s="110">
        <f>'Detailed Report'!AU198-'........... - Otlob'!R202</f>
        <v>0</v>
      </c>
    </row>
    <row r="203" spans="1:19" ht="14.45" customHeight="1" x14ac:dyDescent="0.25">
      <c r="A203" s="105">
        <f>+IF(B203="","",SUBTOTAL(3,B$8:B203))</f>
        <v>196</v>
      </c>
      <c r="B203" s="106" t="str">
        <f>'Detailed Report'!O199</f>
        <v>Fuddruckers - Concord Plaza Mall</v>
      </c>
      <c r="C203" s="107">
        <f>TRUNC('Detailed Report'!Q199,0)</f>
        <v>46030</v>
      </c>
      <c r="D203" s="108">
        <f>'Detailed Report'!P199</f>
        <v>3387850286</v>
      </c>
      <c r="E203" s="106" t="str">
        <f>'Detailed Report'!S199</f>
        <v>Successful</v>
      </c>
      <c r="F203" s="109">
        <f>IF(E203=$E$6,('Detailed Report'!Y199),IF(E203=$E$5,(0),0))</f>
        <v>440.35</v>
      </c>
      <c r="G203" s="106">
        <f>IF(E203=$E$6,('Detailed Report'!AQ199),IF(E203=$E$5,('Detailed Report'!AW199),0))</f>
        <v>386.27193</v>
      </c>
      <c r="H203" s="106">
        <f>'Detailed Report'!AS199</f>
        <v>96.567980000000006</v>
      </c>
      <c r="I203" s="106">
        <f>'Detailed Report'!AT199</f>
        <v>13.519517199999999</v>
      </c>
      <c r="J203" s="106">
        <f>'Detailed Report'!AO199</f>
        <v>0</v>
      </c>
      <c r="K203" s="106">
        <f>'Detailed Report'!AP199</f>
        <v>0</v>
      </c>
      <c r="L203" s="106">
        <f>'Detailed Report'!AU199/1.14</f>
        <v>0</v>
      </c>
      <c r="M203" s="106">
        <f>'Detailed Report'!AU199-L203</f>
        <v>0</v>
      </c>
      <c r="N203" s="110">
        <f>'Detailed Report'!AW199</f>
        <v>330.26299999999998</v>
      </c>
      <c r="O203" s="111">
        <f t="shared" si="49"/>
        <v>56.008930000000021</v>
      </c>
      <c r="P203" s="110">
        <f>'Detailed Report'!AM199</f>
        <v>0</v>
      </c>
      <c r="Q203" s="110">
        <f>'Detailed Report'!AN199</f>
        <v>0</v>
      </c>
      <c r="R203" s="110">
        <f>'Detailed Report'!AU199/1.14</f>
        <v>0</v>
      </c>
      <c r="S203" s="110">
        <f>'Detailed Report'!AU199-'........... - Otlob'!R203</f>
        <v>0</v>
      </c>
    </row>
    <row r="204" spans="1:19" ht="14.45" customHeight="1" x14ac:dyDescent="0.25">
      <c r="A204" s="105">
        <f>+IF(B204="","",SUBTOTAL(3,B$8:B204))</f>
        <v>197</v>
      </c>
      <c r="B204" s="106" t="str">
        <f>'Detailed Report'!O200</f>
        <v>Fuddruckers - New Maadi</v>
      </c>
      <c r="C204" s="107">
        <f>TRUNC('Detailed Report'!Q200,0)</f>
        <v>46030</v>
      </c>
      <c r="D204" s="108">
        <f>'Detailed Report'!P200</f>
        <v>3387945314</v>
      </c>
      <c r="E204" s="106" t="str">
        <f>'Detailed Report'!S200</f>
        <v>Successful</v>
      </c>
      <c r="F204" s="109">
        <f>IF(E204=$E$6,('Detailed Report'!Y200),IF(E204=$E$5,(0),0))</f>
        <v>239.99</v>
      </c>
      <c r="G204" s="106">
        <f>IF(E204=$E$6,('Detailed Report'!AQ200),IF(E204=$E$5,('Detailed Report'!AW200),0))</f>
        <v>210.51754</v>
      </c>
      <c r="H204" s="106">
        <f>'Detailed Report'!AS200</f>
        <v>52.629390000000001</v>
      </c>
      <c r="I204" s="106">
        <f>'Detailed Report'!AT200</f>
        <v>7.3681146000000002</v>
      </c>
      <c r="J204" s="106">
        <f>'Detailed Report'!AO200</f>
        <v>4.1998249999999997</v>
      </c>
      <c r="K204" s="106">
        <f>'Detailed Report'!AP200</f>
        <v>0.58797549999999998</v>
      </c>
      <c r="L204" s="106">
        <f>'Detailed Report'!AU200/1.14</f>
        <v>24.55263157894737</v>
      </c>
      <c r="M204" s="106">
        <f>'Detailed Report'!AU200-L204</f>
        <v>3.4373684210526285</v>
      </c>
      <c r="N204" s="110">
        <f>'Detailed Report'!AW200</f>
        <v>147.215</v>
      </c>
      <c r="O204" s="111">
        <f t="shared" si="49"/>
        <v>63.302539999999993</v>
      </c>
      <c r="P204" s="110">
        <f>'Detailed Report'!AM200</f>
        <v>0</v>
      </c>
      <c r="Q204" s="110">
        <f>'Detailed Report'!AN200</f>
        <v>0</v>
      </c>
      <c r="R204" s="110">
        <f>'Detailed Report'!AU200/1.14</f>
        <v>24.55263157894737</v>
      </c>
      <c r="S204" s="110">
        <f>'Detailed Report'!AU200-'........... - Otlob'!R204</f>
        <v>3.4373684210526285</v>
      </c>
    </row>
    <row r="205" spans="1:19" ht="14.45" customHeight="1" x14ac:dyDescent="0.25">
      <c r="A205" s="105">
        <f>+IF(B205="","",SUBTOTAL(3,B$8:B205))</f>
        <v>198</v>
      </c>
      <c r="B205" s="106" t="str">
        <f>'Detailed Report'!O201</f>
        <v>Fuddruckers - New Maadi</v>
      </c>
      <c r="C205" s="107">
        <f>TRUNC('Detailed Report'!Q201,0)</f>
        <v>46030</v>
      </c>
      <c r="D205" s="108">
        <f>'Detailed Report'!P201</f>
        <v>3387996334</v>
      </c>
      <c r="E205" s="106" t="str">
        <f>'Detailed Report'!S201</f>
        <v>Successful</v>
      </c>
      <c r="F205" s="109">
        <f>IF(E205=$E$6,('Detailed Report'!Y201),IF(E205=$E$5,(0),0))</f>
        <v>466.99</v>
      </c>
      <c r="G205" s="106">
        <f>IF(E205=$E$6,('Detailed Report'!AQ201),IF(E205=$E$5,('Detailed Report'!AW201),0))</f>
        <v>409.64035000000001</v>
      </c>
      <c r="H205" s="106">
        <f>'Detailed Report'!AS201</f>
        <v>102.41009</v>
      </c>
      <c r="I205" s="106">
        <f>'Detailed Report'!AT201</f>
        <v>14.3374126</v>
      </c>
      <c r="J205" s="106">
        <f>'Detailed Report'!AO201</f>
        <v>8.1723250000000007</v>
      </c>
      <c r="K205" s="106">
        <f>'Detailed Report'!AP201</f>
        <v>1.1441254999999999</v>
      </c>
      <c r="L205" s="106">
        <f>'Detailed Report'!AU201/1.14</f>
        <v>25.42982456140351</v>
      </c>
      <c r="M205" s="106">
        <f>'Detailed Report'!AU201-L205</f>
        <v>3.5601754385964881</v>
      </c>
      <c r="N205" s="110">
        <f>'Detailed Report'!AW201</f>
        <v>311.93599999999998</v>
      </c>
      <c r="O205" s="111">
        <f t="shared" si="49"/>
        <v>97.704350000000034</v>
      </c>
      <c r="P205" s="110">
        <f>'Detailed Report'!AM201</f>
        <v>0</v>
      </c>
      <c r="Q205" s="110">
        <f>'Detailed Report'!AN201</f>
        <v>0</v>
      </c>
      <c r="R205" s="110">
        <f>'Detailed Report'!AU201/1.14</f>
        <v>25.42982456140351</v>
      </c>
      <c r="S205" s="110">
        <f>'Detailed Report'!AU201-'........... - Otlob'!R205</f>
        <v>3.5601754385964881</v>
      </c>
    </row>
    <row r="206" spans="1:19" ht="14.45" customHeight="1" x14ac:dyDescent="0.25">
      <c r="A206" s="105">
        <f>+IF(B206="","",SUBTOTAL(3,B$8:B206))</f>
        <v>199</v>
      </c>
      <c r="B206" s="106" t="str">
        <f>'Detailed Report'!O202</f>
        <v>Fuddruckers - New Maadi</v>
      </c>
      <c r="C206" s="107">
        <f>TRUNC('Detailed Report'!Q202,0)</f>
        <v>46030</v>
      </c>
      <c r="D206" s="108">
        <f>'Detailed Report'!P202</f>
        <v>3388124222</v>
      </c>
      <c r="E206" s="106" t="str">
        <f>'Detailed Report'!S202</f>
        <v>Successful</v>
      </c>
      <c r="F206" s="109">
        <f>IF(E206=$E$6,('Detailed Report'!Y202),IF(E206=$E$5,(0),0))</f>
        <v>627.98</v>
      </c>
      <c r="G206" s="106">
        <f>IF(E206=$E$6,('Detailed Report'!AQ202),IF(E206=$E$5,('Detailed Report'!AW202),0))</f>
        <v>550.85964999999999</v>
      </c>
      <c r="H206" s="106">
        <f>'Detailed Report'!AS202</f>
        <v>137.71491</v>
      </c>
      <c r="I206" s="106">
        <f>'Detailed Report'!AT202</f>
        <v>19.280087399999999</v>
      </c>
      <c r="J206" s="106">
        <f>'Detailed Report'!AO202</f>
        <v>0</v>
      </c>
      <c r="K206" s="106">
        <f>'Detailed Report'!AP202</f>
        <v>0</v>
      </c>
      <c r="L206" s="106">
        <f>'Detailed Report'!AU202/1.14</f>
        <v>0</v>
      </c>
      <c r="M206" s="106">
        <f>'Detailed Report'!AU202-L206</f>
        <v>0</v>
      </c>
      <c r="N206" s="110">
        <f>'Detailed Report'!AW202</f>
        <v>470.98500000000001</v>
      </c>
      <c r="O206" s="111">
        <f t="shared" si="49"/>
        <v>79.874649999999974</v>
      </c>
      <c r="P206" s="110">
        <f>'Detailed Report'!AM202</f>
        <v>0</v>
      </c>
      <c r="Q206" s="110">
        <f>'Detailed Report'!AN202</f>
        <v>0</v>
      </c>
      <c r="R206" s="110">
        <f>'Detailed Report'!AU202/1.14</f>
        <v>0</v>
      </c>
      <c r="S206" s="110">
        <f>'Detailed Report'!AU202-'........... - Otlob'!R206</f>
        <v>0</v>
      </c>
    </row>
    <row r="207" spans="1:19" ht="14.45" customHeight="1" x14ac:dyDescent="0.25">
      <c r="A207" s="105">
        <f>+IF(B207="","",SUBTOTAL(3,B$8:B207))</f>
        <v>200</v>
      </c>
      <c r="B207" s="106" t="str">
        <f>'Detailed Report'!O203</f>
        <v>Fuddruckers - City Stars</v>
      </c>
      <c r="C207" s="107">
        <f>TRUNC('Detailed Report'!Q203,0)</f>
        <v>46030</v>
      </c>
      <c r="D207" s="108">
        <f>'Detailed Report'!P203</f>
        <v>3388174432</v>
      </c>
      <c r="E207" s="106" t="str">
        <f>'Detailed Report'!S203</f>
        <v>Successful</v>
      </c>
      <c r="F207" s="109">
        <f>IF(E207=$E$6,('Detailed Report'!Y203),IF(E207=$E$5,(0),0))</f>
        <v>258</v>
      </c>
      <c r="G207" s="106">
        <f>IF(E207=$E$6,('Detailed Report'!AQ203),IF(E207=$E$5,('Detailed Report'!AW203),0))</f>
        <v>226.31578999999999</v>
      </c>
      <c r="H207" s="106">
        <f>'Detailed Report'!AS203</f>
        <v>56.578949999999999</v>
      </c>
      <c r="I207" s="106">
        <f>'Detailed Report'!AT203</f>
        <v>7.9210529999999997</v>
      </c>
      <c r="J207" s="106">
        <f>'Detailed Report'!AO203</f>
        <v>4.5149999999999997</v>
      </c>
      <c r="K207" s="106">
        <f>'Detailed Report'!AP203</f>
        <v>0.6321</v>
      </c>
      <c r="L207" s="106">
        <f>'Detailed Report'!AU203/1.14</f>
        <v>23.67543859649123</v>
      </c>
      <c r="M207" s="106">
        <f>'Detailed Report'!AU203-L207</f>
        <v>3.3145614035087689</v>
      </c>
      <c r="N207" s="110">
        <f>'Detailed Report'!AW203</f>
        <v>161.363</v>
      </c>
      <c r="O207" s="111">
        <f t="shared" si="49"/>
        <v>64.952789999999993</v>
      </c>
      <c r="P207" s="110">
        <f>'Detailed Report'!AM203</f>
        <v>0</v>
      </c>
      <c r="Q207" s="110">
        <f>'Detailed Report'!AN203</f>
        <v>0</v>
      </c>
      <c r="R207" s="110">
        <f>'Detailed Report'!AU203/1.14</f>
        <v>23.67543859649123</v>
      </c>
      <c r="S207" s="110">
        <f>'Detailed Report'!AU203-'........... - Otlob'!R207</f>
        <v>3.3145614035087689</v>
      </c>
    </row>
    <row r="208" spans="1:19" ht="14.45" customHeight="1" x14ac:dyDescent="0.25">
      <c r="A208" s="105">
        <f>+IF(B208="","",SUBTOTAL(3,B$8:B208))</f>
        <v>201</v>
      </c>
      <c r="B208" s="106" t="str">
        <f>'Detailed Report'!O204</f>
        <v>Fuddruckers - Concord Plaza Mall</v>
      </c>
      <c r="C208" s="107">
        <f>TRUNC('Detailed Report'!Q204,0)</f>
        <v>46030</v>
      </c>
      <c r="D208" s="108">
        <f>'Detailed Report'!P204</f>
        <v>3388201720</v>
      </c>
      <c r="E208" s="106" t="str">
        <f>'Detailed Report'!S204</f>
        <v>Successful</v>
      </c>
      <c r="F208" s="109">
        <f>IF(E208=$E$6,('Detailed Report'!Y204),IF(E208=$E$5,(0),0))</f>
        <v>969</v>
      </c>
      <c r="G208" s="106">
        <f>IF(E208=$E$6,('Detailed Report'!AQ204),IF(E208=$E$5,('Detailed Report'!AW204),0))</f>
        <v>921</v>
      </c>
      <c r="H208" s="106">
        <f>'Detailed Report'!AS204</f>
        <v>230.25</v>
      </c>
      <c r="I208" s="106">
        <f>'Detailed Report'!AT204</f>
        <v>32.234999999999999</v>
      </c>
      <c r="J208" s="106">
        <f>'Detailed Report'!AO204</f>
        <v>16.9575</v>
      </c>
      <c r="K208" s="106">
        <f>'Detailed Report'!AP204</f>
        <v>2.37405</v>
      </c>
      <c r="L208" s="106">
        <f>'Detailed Report'!AU204/1.14</f>
        <v>0</v>
      </c>
      <c r="M208" s="106">
        <f>'Detailed Report'!AU204-L208</f>
        <v>0</v>
      </c>
      <c r="N208" s="110">
        <f>'Detailed Report'!AW204</f>
        <v>687.18299999999999</v>
      </c>
      <c r="O208" s="111">
        <f t="shared" si="49"/>
        <v>233.81700000000001</v>
      </c>
      <c r="P208" s="110">
        <f>'Detailed Report'!AM204</f>
        <v>0</v>
      </c>
      <c r="Q208" s="110">
        <f>'Detailed Report'!AN204</f>
        <v>0</v>
      </c>
      <c r="R208" s="110">
        <f>'Detailed Report'!AU204/1.14</f>
        <v>0</v>
      </c>
      <c r="S208" s="110">
        <f>'Detailed Report'!AU204-'........... - Otlob'!R208</f>
        <v>0</v>
      </c>
    </row>
    <row r="209" spans="1:19" ht="14.45" customHeight="1" x14ac:dyDescent="0.25">
      <c r="A209" s="105">
        <f>+IF(B209="","",SUBTOTAL(3,B$8:B209))</f>
        <v>202</v>
      </c>
      <c r="B209" s="106" t="str">
        <f>'Detailed Report'!O205</f>
        <v>Fuddruckers - Concord Plaza Mall</v>
      </c>
      <c r="C209" s="107">
        <f>TRUNC('Detailed Report'!Q205,0)</f>
        <v>46030</v>
      </c>
      <c r="D209" s="108">
        <f>'Detailed Report'!P205</f>
        <v>3388248891</v>
      </c>
      <c r="E209" s="106" t="str">
        <f>'Detailed Report'!S205</f>
        <v>Successful</v>
      </c>
      <c r="F209" s="109">
        <f>IF(E209=$E$6,('Detailed Report'!Y205),IF(E209=$E$5,(0),0))</f>
        <v>1025.6400000000001</v>
      </c>
      <c r="G209" s="106">
        <f>IF(E209=$E$6,('Detailed Report'!AQ205),IF(E209=$E$5,('Detailed Report'!AW205),0))</f>
        <v>899.68421000000001</v>
      </c>
      <c r="H209" s="106">
        <f>'Detailed Report'!AS205</f>
        <v>224.92105000000001</v>
      </c>
      <c r="I209" s="106">
        <f>'Detailed Report'!AT205</f>
        <v>31.488947</v>
      </c>
      <c r="J209" s="106">
        <f>'Detailed Report'!AO205</f>
        <v>17.948699999999999</v>
      </c>
      <c r="K209" s="106">
        <f>'Detailed Report'!AP205</f>
        <v>2.5128180000000002</v>
      </c>
      <c r="L209" s="106">
        <f>'Detailed Report'!AU205/1.14</f>
        <v>0</v>
      </c>
      <c r="M209" s="106">
        <f>'Detailed Report'!AU205-L209</f>
        <v>0</v>
      </c>
      <c r="N209" s="110">
        <f>'Detailed Report'!AW205</f>
        <v>748.76800000000003</v>
      </c>
      <c r="O209" s="111">
        <f t="shared" si="49"/>
        <v>150.91620999999998</v>
      </c>
      <c r="P209" s="110">
        <f>'Detailed Report'!AM205</f>
        <v>0</v>
      </c>
      <c r="Q209" s="110">
        <f>'Detailed Report'!AN205</f>
        <v>0</v>
      </c>
      <c r="R209" s="110">
        <f>'Detailed Report'!AU205/1.14</f>
        <v>0</v>
      </c>
      <c r="S209" s="110">
        <f>'Detailed Report'!AU205-'........... - Otlob'!R209</f>
        <v>0</v>
      </c>
    </row>
    <row r="210" spans="1:19" ht="14.45" customHeight="1" x14ac:dyDescent="0.25">
      <c r="A210" s="105">
        <f>+IF(B210="","",SUBTOTAL(3,B$8:B210))</f>
        <v>203</v>
      </c>
      <c r="B210" s="106" t="str">
        <f>'Detailed Report'!O206</f>
        <v>Fuddruckers - City Stars</v>
      </c>
      <c r="C210" s="107">
        <f>TRUNC('Detailed Report'!Q206,0)</f>
        <v>46030</v>
      </c>
      <c r="D210" s="108">
        <f>'Detailed Report'!P206</f>
        <v>3388309194</v>
      </c>
      <c r="E210" s="106" t="str">
        <f>'Detailed Report'!S206</f>
        <v>Successful</v>
      </c>
      <c r="F210" s="109">
        <f>IF(E210=$E$6,('Detailed Report'!Y206),IF(E210=$E$5,(0),0))</f>
        <v>352.99</v>
      </c>
      <c r="G210" s="106">
        <f>IF(E210=$E$6,('Detailed Report'!AQ206),IF(E210=$E$5,('Detailed Report'!AW206),0))</f>
        <v>309.64035000000001</v>
      </c>
      <c r="H210" s="106">
        <f>'Detailed Report'!AS206</f>
        <v>77.410089999999997</v>
      </c>
      <c r="I210" s="106">
        <f>'Detailed Report'!AT206</f>
        <v>10.8374126</v>
      </c>
      <c r="J210" s="106">
        <f>'Detailed Report'!AO206</f>
        <v>0</v>
      </c>
      <c r="K210" s="106">
        <f>'Detailed Report'!AP206</f>
        <v>0</v>
      </c>
      <c r="L210" s="106">
        <f>'Detailed Report'!AU206/1.14</f>
        <v>25.42982456140351</v>
      </c>
      <c r="M210" s="106">
        <f>'Detailed Report'!AU206-L210</f>
        <v>3.5601754385964881</v>
      </c>
      <c r="N210" s="110">
        <f>'Detailed Report'!AW206</f>
        <v>235.75200000000001</v>
      </c>
      <c r="O210" s="111">
        <f t="shared" si="49"/>
        <v>73.888350000000003</v>
      </c>
      <c r="P210" s="110">
        <f>'Detailed Report'!AM206</f>
        <v>0</v>
      </c>
      <c r="Q210" s="110">
        <f>'Detailed Report'!AN206</f>
        <v>0</v>
      </c>
      <c r="R210" s="110">
        <f>'Detailed Report'!AU206/1.14</f>
        <v>25.42982456140351</v>
      </c>
      <c r="S210" s="110">
        <f>'Detailed Report'!AU206-'........... - Otlob'!R210</f>
        <v>3.5601754385964881</v>
      </c>
    </row>
    <row r="211" spans="1:19" ht="14.45" customHeight="1" x14ac:dyDescent="0.25">
      <c r="A211" s="105">
        <f>+IF(B211="","",SUBTOTAL(3,B$8:B211))</f>
        <v>204</v>
      </c>
      <c r="B211" s="106" t="str">
        <f>'Detailed Report'!O207</f>
        <v>Fuddruckers - New Maadi</v>
      </c>
      <c r="C211" s="107">
        <f>TRUNC('Detailed Report'!Q207,0)</f>
        <v>46030</v>
      </c>
      <c r="D211" s="108">
        <f>'Detailed Report'!P207</f>
        <v>3388332944</v>
      </c>
      <c r="E211" s="106" t="str">
        <f>'Detailed Report'!S207</f>
        <v>Successful</v>
      </c>
      <c r="F211" s="109">
        <f>IF(E211=$E$6,('Detailed Report'!Y207),IF(E211=$E$5,(0),0))</f>
        <v>255.98</v>
      </c>
      <c r="G211" s="106">
        <f>IF(E211=$E$6,('Detailed Report'!AQ207),IF(E211=$E$5,('Detailed Report'!AW207),0))</f>
        <v>224.54386</v>
      </c>
      <c r="H211" s="106">
        <f>'Detailed Report'!AS207</f>
        <v>56.13597</v>
      </c>
      <c r="I211" s="106">
        <f>'Detailed Report'!AT207</f>
        <v>7.8590358</v>
      </c>
      <c r="J211" s="106">
        <f>'Detailed Report'!AO207</f>
        <v>4.4796500000000004</v>
      </c>
      <c r="K211" s="106">
        <f>'Detailed Report'!AP207</f>
        <v>0.62715100000000001</v>
      </c>
      <c r="L211" s="106">
        <f>'Detailed Report'!AU207/1.14</f>
        <v>26.307017543859651</v>
      </c>
      <c r="M211" s="106">
        <f>'Detailed Report'!AU207-L211</f>
        <v>3.6829824561403477</v>
      </c>
      <c r="N211" s="110">
        <f>'Detailed Report'!AW207</f>
        <v>156.88800000000001</v>
      </c>
      <c r="O211" s="111">
        <f t="shared" si="49"/>
        <v>67.65585999999999</v>
      </c>
      <c r="P211" s="110">
        <f>'Detailed Report'!AM207</f>
        <v>0</v>
      </c>
      <c r="Q211" s="110">
        <f>'Detailed Report'!AN207</f>
        <v>0</v>
      </c>
      <c r="R211" s="110">
        <f>'Detailed Report'!AU207/1.14</f>
        <v>26.307017543859651</v>
      </c>
      <c r="S211" s="110">
        <f>'Detailed Report'!AU207-'........... - Otlob'!R211</f>
        <v>3.6829824561403477</v>
      </c>
    </row>
    <row r="212" spans="1:19" ht="14.45" customHeight="1" x14ac:dyDescent="0.25">
      <c r="A212" s="105">
        <f>+IF(B212="","",SUBTOTAL(3,B$8:B212))</f>
        <v>205</v>
      </c>
      <c r="B212" s="106" t="str">
        <f>'Detailed Report'!O208</f>
        <v>Fuddruckers - New Maadi</v>
      </c>
      <c r="C212" s="107">
        <f>TRUNC('Detailed Report'!Q208,0)</f>
        <v>46030</v>
      </c>
      <c r="D212" s="108">
        <f>'Detailed Report'!P208</f>
        <v>3388387458</v>
      </c>
      <c r="E212" s="106" t="str">
        <f>'Detailed Report'!S208</f>
        <v>Successful</v>
      </c>
      <c r="F212" s="109">
        <f>IF(E212=$E$6,('Detailed Report'!Y208),IF(E212=$E$5,(0),0))</f>
        <v>352</v>
      </c>
      <c r="G212" s="106">
        <f>IF(E212=$E$6,('Detailed Report'!AQ208),IF(E212=$E$5,('Detailed Report'!AW208),0))</f>
        <v>308.77193</v>
      </c>
      <c r="H212" s="106">
        <f>'Detailed Report'!AS208</f>
        <v>77.192980000000006</v>
      </c>
      <c r="I212" s="106">
        <f>'Detailed Report'!AT208</f>
        <v>10.807017200000001</v>
      </c>
      <c r="J212" s="106">
        <f>'Detailed Report'!AO208</f>
        <v>6.16</v>
      </c>
      <c r="K212" s="106">
        <f>'Detailed Report'!AP208</f>
        <v>0.86240000000000006</v>
      </c>
      <c r="L212" s="106">
        <f>'Detailed Report'!AU208/1.14</f>
        <v>26.307017543859651</v>
      </c>
      <c r="M212" s="106">
        <f>'Detailed Report'!AU208-L212</f>
        <v>3.6829824561403477</v>
      </c>
      <c r="N212" s="110">
        <f>'Detailed Report'!AW208</f>
        <v>226.988</v>
      </c>
      <c r="O212" s="111">
        <f t="shared" si="49"/>
        <v>81.783929999999998</v>
      </c>
      <c r="P212" s="110">
        <f>'Detailed Report'!AM208</f>
        <v>0</v>
      </c>
      <c r="Q212" s="110">
        <f>'Detailed Report'!AN208</f>
        <v>0</v>
      </c>
      <c r="R212" s="110">
        <f>'Detailed Report'!AU208/1.14</f>
        <v>26.307017543859651</v>
      </c>
      <c r="S212" s="110">
        <f>'Detailed Report'!AU208-'........... - Otlob'!R212</f>
        <v>3.6829824561403477</v>
      </c>
    </row>
    <row r="213" spans="1:19" ht="14.45" customHeight="1" x14ac:dyDescent="0.25">
      <c r="A213" s="105">
        <f>+IF(B213="","",SUBTOTAL(3,B$8:B213))</f>
        <v>206</v>
      </c>
      <c r="B213" s="106" t="str">
        <f>'Detailed Report'!O209</f>
        <v>Fuddruckers - Concord Plaza Mall</v>
      </c>
      <c r="C213" s="107">
        <f>TRUNC('Detailed Report'!Q209,0)</f>
        <v>46030</v>
      </c>
      <c r="D213" s="108">
        <f>'Detailed Report'!P209</f>
        <v>3388421710</v>
      </c>
      <c r="E213" s="106" t="str">
        <f>'Detailed Report'!S209</f>
        <v>Successful</v>
      </c>
      <c r="F213" s="109">
        <f>IF(E213=$E$6,('Detailed Report'!Y209),IF(E213=$E$5,(0),0))</f>
        <v>554.98</v>
      </c>
      <c r="G213" s="106">
        <f>IF(E213=$E$6,('Detailed Report'!AQ209),IF(E213=$E$5,('Detailed Report'!AW209),0))</f>
        <v>486.82456000000002</v>
      </c>
      <c r="H213" s="106">
        <f>'Detailed Report'!AS209</f>
        <v>121.70614</v>
      </c>
      <c r="I213" s="106">
        <f>'Detailed Report'!AT209</f>
        <v>17.038859599999999</v>
      </c>
      <c r="J213" s="106">
        <f>'Detailed Report'!AO209</f>
        <v>0</v>
      </c>
      <c r="K213" s="106">
        <f>'Detailed Report'!AP209</f>
        <v>0</v>
      </c>
      <c r="L213" s="106">
        <f>'Detailed Report'!AU209/1.14</f>
        <v>0</v>
      </c>
      <c r="M213" s="106">
        <f>'Detailed Report'!AU209-L213</f>
        <v>0</v>
      </c>
      <c r="N213" s="110">
        <f>'Detailed Report'!AW209</f>
        <v>416.23500000000001</v>
      </c>
      <c r="O213" s="111">
        <f t="shared" si="49"/>
        <v>70.589560000000006</v>
      </c>
      <c r="P213" s="110">
        <f>'Detailed Report'!AM209</f>
        <v>0</v>
      </c>
      <c r="Q213" s="110">
        <f>'Detailed Report'!AN209</f>
        <v>0</v>
      </c>
      <c r="R213" s="110">
        <f>'Detailed Report'!AU209/1.14</f>
        <v>0</v>
      </c>
      <c r="S213" s="110">
        <f>'Detailed Report'!AU209-'........... - Otlob'!R213</f>
        <v>0</v>
      </c>
    </row>
    <row r="214" spans="1:19" ht="14.45" customHeight="1" x14ac:dyDescent="0.25">
      <c r="A214" s="105">
        <f>+IF(B214="","",SUBTOTAL(3,B$8:B214))</f>
        <v>207</v>
      </c>
      <c r="B214" s="106" t="str">
        <f>'Detailed Report'!O210</f>
        <v>Fuddruckers - Concord Plaza Mall</v>
      </c>
      <c r="C214" s="107">
        <f>TRUNC('Detailed Report'!Q210,0)</f>
        <v>46030</v>
      </c>
      <c r="D214" s="108">
        <f>'Detailed Report'!P210</f>
        <v>3388444086</v>
      </c>
      <c r="E214" s="106" t="str">
        <f>'Detailed Report'!S210</f>
        <v>Successful</v>
      </c>
      <c r="F214" s="109">
        <f>IF(E214=$E$6,('Detailed Report'!Y210),IF(E214=$E$5,(0),0))</f>
        <v>765.66</v>
      </c>
      <c r="G214" s="106">
        <f>IF(E214=$E$6,('Detailed Report'!AQ210),IF(E214=$E$5,('Detailed Report'!AW210),0))</f>
        <v>671.63157999999999</v>
      </c>
      <c r="H214" s="106">
        <f>'Detailed Report'!AS210</f>
        <v>167.90790000000001</v>
      </c>
      <c r="I214" s="106">
        <f>'Detailed Report'!AT210</f>
        <v>23.507106</v>
      </c>
      <c r="J214" s="106">
        <f>'Detailed Report'!AO210</f>
        <v>13.399050000000001</v>
      </c>
      <c r="K214" s="106">
        <f>'Detailed Report'!AP210</f>
        <v>1.875867</v>
      </c>
      <c r="L214" s="106">
        <f>'Detailed Report'!AU210/1.14</f>
        <v>27.184210526315791</v>
      </c>
      <c r="M214" s="106">
        <f>'Detailed Report'!AU210-L214</f>
        <v>3.8057894736842073</v>
      </c>
      <c r="N214" s="110">
        <f>'Detailed Report'!AW210</f>
        <v>527.98</v>
      </c>
      <c r="O214" s="111">
        <f t="shared" si="49"/>
        <v>143.65157999999997</v>
      </c>
      <c r="P214" s="110">
        <f>'Detailed Report'!AM210</f>
        <v>0</v>
      </c>
      <c r="Q214" s="110">
        <f>'Detailed Report'!AN210</f>
        <v>0</v>
      </c>
      <c r="R214" s="110">
        <f>'Detailed Report'!AU210/1.14</f>
        <v>27.184210526315791</v>
      </c>
      <c r="S214" s="110">
        <f>'Detailed Report'!AU210-'........... - Otlob'!R214</f>
        <v>3.8057894736842073</v>
      </c>
    </row>
    <row r="215" spans="1:19" ht="14.45" customHeight="1" x14ac:dyDescent="0.25">
      <c r="A215" s="105">
        <f>+IF(B215="","",SUBTOTAL(3,B$8:B215))</f>
        <v>208</v>
      </c>
      <c r="B215" s="106" t="str">
        <f>'Detailed Report'!O211</f>
        <v>Fuddruckers - Concord Plaza Mall</v>
      </c>
      <c r="C215" s="107">
        <f>TRUNC('Detailed Report'!Q211,0)</f>
        <v>46030</v>
      </c>
      <c r="D215" s="108">
        <f>'Detailed Report'!P211</f>
        <v>3388444869</v>
      </c>
      <c r="E215" s="106" t="str">
        <f>'Detailed Report'!S211</f>
        <v>Successful</v>
      </c>
      <c r="F215" s="109">
        <f>IF(E215=$E$6,('Detailed Report'!Y211),IF(E215=$E$5,(0),0))</f>
        <v>445.99</v>
      </c>
      <c r="G215" s="106">
        <f>IF(E215=$E$6,('Detailed Report'!AQ211),IF(E215=$E$5,('Detailed Report'!AW211),0))</f>
        <v>391.21929999999998</v>
      </c>
      <c r="H215" s="106">
        <f>'Detailed Report'!AS211</f>
        <v>97.804829999999995</v>
      </c>
      <c r="I215" s="106">
        <f>'Detailed Report'!AT211</f>
        <v>13.692676199999999</v>
      </c>
      <c r="J215" s="106">
        <f>'Detailed Report'!AO211</f>
        <v>7.8048250000000001</v>
      </c>
      <c r="K215" s="106">
        <f>'Detailed Report'!AP211</f>
        <v>1.0926754999999999</v>
      </c>
      <c r="L215" s="106">
        <f>'Detailed Report'!AU211/1.14</f>
        <v>28.938596491228076</v>
      </c>
      <c r="M215" s="106">
        <f>'Detailed Report'!AU211-L215</f>
        <v>4.0514035087719265</v>
      </c>
      <c r="N215" s="110">
        <f>'Detailed Report'!AW211</f>
        <v>292.60500000000002</v>
      </c>
      <c r="O215" s="111">
        <f t="shared" si="49"/>
        <v>98.614299999999957</v>
      </c>
      <c r="P215" s="110">
        <f>'Detailed Report'!AM211</f>
        <v>0</v>
      </c>
      <c r="Q215" s="110">
        <f>'Detailed Report'!AN211</f>
        <v>0</v>
      </c>
      <c r="R215" s="110">
        <f>'Detailed Report'!AU211/1.14</f>
        <v>28.938596491228076</v>
      </c>
      <c r="S215" s="110">
        <f>'Detailed Report'!AU211-'........... - Otlob'!R215</f>
        <v>4.0514035087719265</v>
      </c>
    </row>
    <row r="216" spans="1:19" ht="14.45" customHeight="1" x14ac:dyDescent="0.25">
      <c r="A216" s="105">
        <f>+IF(B216="","",SUBTOTAL(3,B$8:B216))</f>
        <v>209</v>
      </c>
      <c r="B216" s="106" t="str">
        <f>'Detailed Report'!O212</f>
        <v>Fuddruckers - Concord Plaza Mall</v>
      </c>
      <c r="C216" s="107">
        <f>TRUNC('Detailed Report'!Q212,0)</f>
        <v>46030</v>
      </c>
      <c r="D216" s="108">
        <f>'Detailed Report'!P212</f>
        <v>3388450058</v>
      </c>
      <c r="E216" s="106" t="str">
        <f>'Detailed Report'!S212</f>
        <v>Successful</v>
      </c>
      <c r="F216" s="109">
        <f>IF(E216=$E$6,('Detailed Report'!Y212),IF(E216=$E$5,(0),0))</f>
        <v>353.99</v>
      </c>
      <c r="G216" s="106">
        <f>IF(E216=$E$6,('Detailed Report'!AQ212),IF(E216=$E$5,('Detailed Report'!AW212),0))</f>
        <v>310.51754</v>
      </c>
      <c r="H216" s="106">
        <f>'Detailed Report'!AS212</f>
        <v>77.629390000000001</v>
      </c>
      <c r="I216" s="106">
        <f>'Detailed Report'!AT212</f>
        <v>10.8681146</v>
      </c>
      <c r="J216" s="106">
        <f>'Detailed Report'!AO212</f>
        <v>6.1948249999999998</v>
      </c>
      <c r="K216" s="106">
        <f>'Detailed Report'!AP212</f>
        <v>0.86727549999999998</v>
      </c>
      <c r="L216" s="106">
        <f>'Detailed Report'!AU212/1.14</f>
        <v>0</v>
      </c>
      <c r="M216" s="106">
        <f>'Detailed Report'!AU212-L216</f>
        <v>0</v>
      </c>
      <c r="N216" s="110">
        <f>'Detailed Report'!AW212</f>
        <v>258.43</v>
      </c>
      <c r="O216" s="111">
        <f t="shared" si="49"/>
        <v>52.08753999999999</v>
      </c>
      <c r="P216" s="110">
        <f>'Detailed Report'!AM212</f>
        <v>0</v>
      </c>
      <c r="Q216" s="110">
        <f>'Detailed Report'!AN212</f>
        <v>0</v>
      </c>
      <c r="R216" s="110">
        <f>'Detailed Report'!AU212/1.14</f>
        <v>0</v>
      </c>
      <c r="S216" s="110">
        <f>'Detailed Report'!AU212-'........... - Otlob'!R216</f>
        <v>0</v>
      </c>
    </row>
    <row r="217" spans="1:19" ht="14.45" customHeight="1" x14ac:dyDescent="0.25">
      <c r="A217" s="105">
        <f>+IF(B217="","",SUBTOTAL(3,B$8:B217))</f>
        <v>210</v>
      </c>
      <c r="B217" s="106" t="str">
        <f>'Detailed Report'!O213</f>
        <v>Fuddruckers - Concord Plaza Mall</v>
      </c>
      <c r="C217" s="107">
        <f>TRUNC('Detailed Report'!Q213,0)</f>
        <v>46030</v>
      </c>
      <c r="D217" s="108">
        <f>'Detailed Report'!P213</f>
        <v>3388486060</v>
      </c>
      <c r="E217" s="106" t="str">
        <f>'Detailed Report'!S213</f>
        <v>Successful</v>
      </c>
      <c r="F217" s="109">
        <f>IF(E217=$E$6,('Detailed Report'!Y213),IF(E217=$E$5,(0),0))</f>
        <v>399.98</v>
      </c>
      <c r="G217" s="106">
        <f>IF(E217=$E$6,('Detailed Report'!AQ213),IF(E217=$E$5,('Detailed Report'!AW213),0))</f>
        <v>350.85964999999999</v>
      </c>
      <c r="H217" s="106">
        <f>'Detailed Report'!AS213</f>
        <v>87.714910000000003</v>
      </c>
      <c r="I217" s="106">
        <f>'Detailed Report'!AT213</f>
        <v>12.280087399999999</v>
      </c>
      <c r="J217" s="106">
        <f>'Detailed Report'!AO213</f>
        <v>6.9996499999999999</v>
      </c>
      <c r="K217" s="106">
        <f>'Detailed Report'!AP213</f>
        <v>0.97995100000000002</v>
      </c>
      <c r="L217" s="106">
        <f>'Detailed Report'!AU213/1.14</f>
        <v>28.938596491228076</v>
      </c>
      <c r="M217" s="106">
        <f>'Detailed Report'!AU213-L217</f>
        <v>4.0514035087719265</v>
      </c>
      <c r="N217" s="110">
        <f>'Detailed Report'!AW213</f>
        <v>259.01499999999999</v>
      </c>
      <c r="O217" s="111">
        <f t="shared" si="49"/>
        <v>91.844650000000001</v>
      </c>
      <c r="P217" s="110">
        <f>'Detailed Report'!AM213</f>
        <v>0</v>
      </c>
      <c r="Q217" s="110">
        <f>'Detailed Report'!AN213</f>
        <v>0</v>
      </c>
      <c r="R217" s="110">
        <f>'Detailed Report'!AU213/1.14</f>
        <v>28.938596491228076</v>
      </c>
      <c r="S217" s="110">
        <f>'Detailed Report'!AU213-'........... - Otlob'!R217</f>
        <v>4.0514035087719265</v>
      </c>
    </row>
    <row r="218" spans="1:19" ht="14.45" customHeight="1" x14ac:dyDescent="0.25">
      <c r="A218" s="105">
        <f>+IF(B218="","",SUBTOTAL(3,B$8:B218))</f>
        <v>211</v>
      </c>
      <c r="B218" s="106" t="str">
        <f>'Detailed Report'!O214</f>
        <v>Fuddruckers - Concord Plaza Mall</v>
      </c>
      <c r="C218" s="107">
        <f>TRUNC('Detailed Report'!Q214,0)</f>
        <v>46030</v>
      </c>
      <c r="D218" s="108">
        <f>'Detailed Report'!P214</f>
        <v>3388507638</v>
      </c>
      <c r="E218" s="106" t="str">
        <f>'Detailed Report'!S214</f>
        <v>Successful</v>
      </c>
      <c r="F218" s="109">
        <f>IF(E218=$E$6,('Detailed Report'!Y214),IF(E218=$E$5,(0),0))</f>
        <v>1043.6500000000001</v>
      </c>
      <c r="G218" s="106">
        <f>IF(E218=$E$6,('Detailed Report'!AQ214),IF(E218=$E$5,('Detailed Report'!AW214),0))</f>
        <v>915.48245999999995</v>
      </c>
      <c r="H218" s="106">
        <f>'Detailed Report'!AS214</f>
        <v>228.87062</v>
      </c>
      <c r="I218" s="106">
        <f>'Detailed Report'!AT214</f>
        <v>32.0418868</v>
      </c>
      <c r="J218" s="106">
        <f>'Detailed Report'!AO214</f>
        <v>18.263874999999999</v>
      </c>
      <c r="K218" s="106">
        <f>'Detailed Report'!AP214</f>
        <v>2.5569424999999999</v>
      </c>
      <c r="L218" s="106">
        <f>'Detailed Report'!AU214/1.14</f>
        <v>30.692982456140356</v>
      </c>
      <c r="M218" s="106">
        <f>'Detailed Report'!AU214-L218</f>
        <v>4.2970175438596456</v>
      </c>
      <c r="N218" s="110">
        <f>'Detailed Report'!AW214</f>
        <v>726.92700000000002</v>
      </c>
      <c r="O218" s="111">
        <f t="shared" si="49"/>
        <v>188.55545999999993</v>
      </c>
      <c r="P218" s="110">
        <f>'Detailed Report'!AM214</f>
        <v>0</v>
      </c>
      <c r="Q218" s="110">
        <f>'Detailed Report'!AN214</f>
        <v>0</v>
      </c>
      <c r="R218" s="110">
        <f>'Detailed Report'!AU214/1.14</f>
        <v>30.692982456140356</v>
      </c>
      <c r="S218" s="110">
        <f>'Detailed Report'!AU214-'........... - Otlob'!R218</f>
        <v>4.2970175438596456</v>
      </c>
    </row>
    <row r="219" spans="1:19" ht="14.45" customHeight="1" x14ac:dyDescent="0.25">
      <c r="A219" s="105">
        <f>+IF(B219="","",SUBTOTAL(3,B$8:B219))</f>
        <v>212</v>
      </c>
      <c r="B219" s="106" t="str">
        <f>'Detailed Report'!O215</f>
        <v>Fuddruckers - Concord Plaza Mall</v>
      </c>
      <c r="C219" s="107">
        <f>TRUNC('Detailed Report'!Q215,0)</f>
        <v>46030</v>
      </c>
      <c r="D219" s="108">
        <f>'Detailed Report'!P215</f>
        <v>3388643402</v>
      </c>
      <c r="E219" s="106" t="str">
        <f>'Detailed Report'!S215</f>
        <v>Successful</v>
      </c>
      <c r="F219" s="109">
        <f>IF(E219=$E$6,('Detailed Report'!Y215),IF(E219=$E$5,(0),0))</f>
        <v>454.99</v>
      </c>
      <c r="G219" s="106">
        <f>IF(E219=$E$6,('Detailed Report'!AQ215),IF(E219=$E$5,('Detailed Report'!AW215),0))</f>
        <v>399.11403999999999</v>
      </c>
      <c r="H219" s="106">
        <f>'Detailed Report'!AS215</f>
        <v>99.778509999999997</v>
      </c>
      <c r="I219" s="106">
        <f>'Detailed Report'!AT215</f>
        <v>13.9689914</v>
      </c>
      <c r="J219" s="106">
        <f>'Detailed Report'!AO215</f>
        <v>7.9623249999999999</v>
      </c>
      <c r="K219" s="106">
        <f>'Detailed Report'!AP215</f>
        <v>1.1147255</v>
      </c>
      <c r="L219" s="106">
        <f>'Detailed Report'!AU215/1.14</f>
        <v>29.815789473684216</v>
      </c>
      <c r="M219" s="106">
        <f>'Detailed Report'!AU215-L219</f>
        <v>4.174210526315786</v>
      </c>
      <c r="N219" s="110">
        <f>'Detailed Report'!AW215</f>
        <v>298.17500000000001</v>
      </c>
      <c r="O219" s="111">
        <f t="shared" si="49"/>
        <v>100.93903999999998</v>
      </c>
      <c r="P219" s="110">
        <f>'Detailed Report'!AM215</f>
        <v>0</v>
      </c>
      <c r="Q219" s="110">
        <f>'Detailed Report'!AN215</f>
        <v>0</v>
      </c>
      <c r="R219" s="110">
        <f>'Detailed Report'!AU215/1.14</f>
        <v>29.815789473684216</v>
      </c>
      <c r="S219" s="110">
        <f>'Detailed Report'!AU215-'........... - Otlob'!R219</f>
        <v>4.174210526315786</v>
      </c>
    </row>
    <row r="220" spans="1:19" ht="14.45" customHeight="1" x14ac:dyDescent="0.25">
      <c r="A220" s="105">
        <f>+IF(B220="","",SUBTOTAL(3,B$8:B220))</f>
        <v>213</v>
      </c>
      <c r="B220" s="106" t="str">
        <f>'Detailed Report'!O216</f>
        <v>Fuddruckers - New Maadi</v>
      </c>
      <c r="C220" s="107">
        <f>TRUNC('Detailed Report'!Q216,0)</f>
        <v>46030</v>
      </c>
      <c r="D220" s="108">
        <f>'Detailed Report'!P216</f>
        <v>3388648191</v>
      </c>
      <c r="E220" s="106" t="str">
        <f>'Detailed Report'!S216</f>
        <v>Successful</v>
      </c>
      <c r="F220" s="109">
        <f>IF(E220=$E$6,('Detailed Report'!Y216),IF(E220=$E$5,(0),0))</f>
        <v>389.99</v>
      </c>
      <c r="G220" s="106">
        <f>IF(E220=$E$6,('Detailed Report'!AQ216),IF(E220=$E$5,('Detailed Report'!AW216),0))</f>
        <v>342.09649000000002</v>
      </c>
      <c r="H220" s="106">
        <f>'Detailed Report'!AS216</f>
        <v>85.524119999999996</v>
      </c>
      <c r="I220" s="106">
        <f>'Detailed Report'!AT216</f>
        <v>11.9733768</v>
      </c>
      <c r="J220" s="106">
        <f>'Detailed Report'!AO216</f>
        <v>6.8248249999999997</v>
      </c>
      <c r="K220" s="106">
        <f>'Detailed Report'!AP216</f>
        <v>0.95547550000000003</v>
      </c>
      <c r="L220" s="106">
        <f>'Detailed Report'!AU216/1.14</f>
        <v>23.67543859649123</v>
      </c>
      <c r="M220" s="106">
        <f>'Detailed Report'!AU216-L220</f>
        <v>3.3145614035087689</v>
      </c>
      <c r="N220" s="110">
        <f>'Detailed Report'!AW216</f>
        <v>257.72199999999998</v>
      </c>
      <c r="O220" s="111">
        <f t="shared" si="49"/>
        <v>84.374490000000037</v>
      </c>
      <c r="P220" s="110">
        <f>'Detailed Report'!AM216</f>
        <v>0</v>
      </c>
      <c r="Q220" s="110">
        <f>'Detailed Report'!AN216</f>
        <v>0</v>
      </c>
      <c r="R220" s="110">
        <f>'Detailed Report'!AU216/1.14</f>
        <v>23.67543859649123</v>
      </c>
      <c r="S220" s="110">
        <f>'Detailed Report'!AU216-'........... - Otlob'!R220</f>
        <v>3.3145614035087689</v>
      </c>
    </row>
    <row r="221" spans="1:19" ht="14.45" customHeight="1" x14ac:dyDescent="0.25">
      <c r="A221" s="105">
        <f>+IF(B221="","",SUBTOTAL(3,B$8:B221))</f>
        <v>214</v>
      </c>
      <c r="B221" s="106" t="str">
        <f>'Detailed Report'!O217</f>
        <v>Fuddruckers - Concord Plaza Mall</v>
      </c>
      <c r="C221" s="107">
        <f>TRUNC('Detailed Report'!Q217,0)</f>
        <v>46030</v>
      </c>
      <c r="D221" s="108">
        <f>'Detailed Report'!P217</f>
        <v>3388699837</v>
      </c>
      <c r="E221" s="106" t="str">
        <f>'Detailed Report'!S217</f>
        <v>Successful</v>
      </c>
      <c r="F221" s="109">
        <f>IF(E221=$E$6,('Detailed Report'!Y217),IF(E221=$E$5,(0),0))</f>
        <v>2294.4699999999998</v>
      </c>
      <c r="G221" s="106">
        <f>IF(E221=$E$6,('Detailed Report'!AQ217),IF(E221=$E$5,('Detailed Report'!AW217),0))</f>
        <v>2012.69298</v>
      </c>
      <c r="H221" s="106">
        <f>'Detailed Report'!AS217</f>
        <v>503.17325</v>
      </c>
      <c r="I221" s="106">
        <f>'Detailed Report'!AT217</f>
        <v>70.444254999999998</v>
      </c>
      <c r="J221" s="106">
        <f>'Detailed Report'!AO217</f>
        <v>0</v>
      </c>
      <c r="K221" s="106">
        <f>'Detailed Report'!AP217</f>
        <v>0</v>
      </c>
      <c r="L221" s="106">
        <f>'Detailed Report'!AU217/1.14</f>
        <v>0</v>
      </c>
      <c r="M221" s="106">
        <f>'Detailed Report'!AU217-L221</f>
        <v>0</v>
      </c>
      <c r="N221" s="110">
        <f>'Detailed Report'!AW217</f>
        <v>1720.8520000000001</v>
      </c>
      <c r="O221" s="111">
        <f t="shared" si="49"/>
        <v>291.84097999999994</v>
      </c>
      <c r="P221" s="110">
        <f>'Detailed Report'!AM217</f>
        <v>0</v>
      </c>
      <c r="Q221" s="110">
        <f>'Detailed Report'!AN217</f>
        <v>0</v>
      </c>
      <c r="R221" s="110">
        <f>'Detailed Report'!AU217/1.14</f>
        <v>0</v>
      </c>
      <c r="S221" s="110">
        <f>'Detailed Report'!AU217-'........... - Otlob'!R221</f>
        <v>0</v>
      </c>
    </row>
    <row r="222" spans="1:19" ht="14.45" customHeight="1" x14ac:dyDescent="0.25">
      <c r="A222" s="105">
        <f>+IF(B222="","",SUBTOTAL(3,B$8:B222))</f>
        <v>215</v>
      </c>
      <c r="B222" s="106" t="str">
        <f>'Detailed Report'!O218</f>
        <v>Fuddruckers - Concord Plaza Mall</v>
      </c>
      <c r="C222" s="107">
        <f>TRUNC('Detailed Report'!Q218,0)</f>
        <v>46030</v>
      </c>
      <c r="D222" s="108">
        <f>'Detailed Report'!P218</f>
        <v>3388804640</v>
      </c>
      <c r="E222" s="106" t="str">
        <f>'Detailed Report'!S218</f>
        <v>Successful</v>
      </c>
      <c r="F222" s="109">
        <f>IF(E222=$E$6,('Detailed Report'!Y218),IF(E222=$E$5,(0),0))</f>
        <v>1247.97</v>
      </c>
      <c r="G222" s="106">
        <f>IF(E222=$E$6,('Detailed Report'!AQ218),IF(E222=$E$5,('Detailed Report'!AW218),0))</f>
        <v>1094.7105300000001</v>
      </c>
      <c r="H222" s="106">
        <f>'Detailed Report'!AS218</f>
        <v>273.67763000000002</v>
      </c>
      <c r="I222" s="106">
        <f>'Detailed Report'!AT218</f>
        <v>38.314868199999999</v>
      </c>
      <c r="J222" s="106">
        <f>'Detailed Report'!AO218</f>
        <v>21.839475</v>
      </c>
      <c r="K222" s="106">
        <f>'Detailed Report'!AP218</f>
        <v>3.0575264999999998</v>
      </c>
      <c r="L222" s="106">
        <f>'Detailed Report'!AU218/1.14</f>
        <v>28.938596491228076</v>
      </c>
      <c r="M222" s="106">
        <f>'Detailed Report'!AU218-L222</f>
        <v>4.0514035087719265</v>
      </c>
      <c r="N222" s="110">
        <f>'Detailed Report'!AW218</f>
        <v>843.89099999999996</v>
      </c>
      <c r="O222" s="111">
        <f t="shared" si="49"/>
        <v>250.8195300000001</v>
      </c>
      <c r="P222" s="110">
        <f>'Detailed Report'!AM218</f>
        <v>30</v>
      </c>
      <c r="Q222" s="110">
        <f>'Detailed Report'!AN218</f>
        <v>4.2</v>
      </c>
      <c r="R222" s="110">
        <f>'Detailed Report'!AU218/1.14</f>
        <v>28.938596491228076</v>
      </c>
      <c r="S222" s="110">
        <f>'Detailed Report'!AU218-'........... - Otlob'!R222</f>
        <v>4.0514035087719265</v>
      </c>
    </row>
    <row r="223" spans="1:19" ht="14.45" customHeight="1" x14ac:dyDescent="0.25">
      <c r="A223" s="105">
        <f>+IF(B223="","",SUBTOTAL(3,B$8:B223))</f>
        <v>216</v>
      </c>
      <c r="B223" s="106" t="str">
        <f>'Detailed Report'!O219</f>
        <v>Fuddruckers - City Stars</v>
      </c>
      <c r="C223" s="107">
        <f>TRUNC('Detailed Report'!Q219,0)</f>
        <v>46030</v>
      </c>
      <c r="D223" s="108">
        <f>'Detailed Report'!P219</f>
        <v>3388812330</v>
      </c>
      <c r="E223" s="106" t="str">
        <f>'Detailed Report'!S219</f>
        <v>Successful</v>
      </c>
      <c r="F223" s="109">
        <f>IF(E223=$E$6,('Detailed Report'!Y219),IF(E223=$E$5,(0),0))</f>
        <v>461.95</v>
      </c>
      <c r="G223" s="106">
        <f>IF(E223=$E$6,('Detailed Report'!AQ219),IF(E223=$E$5,('Detailed Report'!AW219),0))</f>
        <v>405.21929999999998</v>
      </c>
      <c r="H223" s="106">
        <f>'Detailed Report'!AS219</f>
        <v>101.30483</v>
      </c>
      <c r="I223" s="106">
        <f>'Detailed Report'!AT219</f>
        <v>14.1826762</v>
      </c>
      <c r="J223" s="106">
        <f>'Detailed Report'!AO219</f>
        <v>0</v>
      </c>
      <c r="K223" s="106">
        <f>'Detailed Report'!AP219</f>
        <v>0</v>
      </c>
      <c r="L223" s="106">
        <f>'Detailed Report'!AU219/1.14</f>
        <v>0</v>
      </c>
      <c r="M223" s="106">
        <f>'Detailed Report'!AU219-L223</f>
        <v>0</v>
      </c>
      <c r="N223" s="110">
        <f>'Detailed Report'!AW219</f>
        <v>346.46199999999999</v>
      </c>
      <c r="O223" s="111">
        <f t="shared" si="49"/>
        <v>58.757299999999987</v>
      </c>
      <c r="P223" s="110">
        <f>'Detailed Report'!AM219</f>
        <v>0</v>
      </c>
      <c r="Q223" s="110">
        <f>'Detailed Report'!AN219</f>
        <v>0</v>
      </c>
      <c r="R223" s="110">
        <f>'Detailed Report'!AU219/1.14</f>
        <v>0</v>
      </c>
      <c r="S223" s="110">
        <f>'Detailed Report'!AU219-'........... - Otlob'!R223</f>
        <v>0</v>
      </c>
    </row>
    <row r="224" spans="1:19" ht="14.45" customHeight="1" x14ac:dyDescent="0.25">
      <c r="A224" s="105">
        <f>+IF(B224="","",SUBTOTAL(3,B$8:B224))</f>
        <v>217</v>
      </c>
      <c r="B224" s="106" t="str">
        <f>'Detailed Report'!O220</f>
        <v>Fuddruckers - Concord Plaza Mall</v>
      </c>
      <c r="C224" s="107">
        <f>TRUNC('Detailed Report'!Q220,0)</f>
        <v>46030</v>
      </c>
      <c r="D224" s="108">
        <f>'Detailed Report'!P220</f>
        <v>3388897262</v>
      </c>
      <c r="E224" s="106" t="str">
        <f>'Detailed Report'!S220</f>
        <v>Successful</v>
      </c>
      <c r="F224" s="109">
        <f>IF(E224=$E$6,('Detailed Report'!Y220),IF(E224=$E$5,(0),0))</f>
        <v>419.98</v>
      </c>
      <c r="G224" s="106">
        <f>IF(E224=$E$6,('Detailed Report'!AQ220),IF(E224=$E$5,('Detailed Report'!AW220),0))</f>
        <v>368.40350999999998</v>
      </c>
      <c r="H224" s="106">
        <f>'Detailed Report'!AS220</f>
        <v>92.100880000000004</v>
      </c>
      <c r="I224" s="106">
        <f>'Detailed Report'!AT220</f>
        <v>12.894123199999999</v>
      </c>
      <c r="J224" s="106">
        <f>'Detailed Report'!AO220</f>
        <v>7.3496499999999996</v>
      </c>
      <c r="K224" s="106">
        <f>'Detailed Report'!AP220</f>
        <v>1.0289509999999999</v>
      </c>
      <c r="L224" s="106">
        <f>'Detailed Report'!AU220/1.14</f>
        <v>28.061403508771932</v>
      </c>
      <c r="M224" s="106">
        <f>'Detailed Report'!AU220-L224</f>
        <v>3.9285964912280669</v>
      </c>
      <c r="N224" s="110">
        <f>'Detailed Report'!AW220</f>
        <v>274.61599999999999</v>
      </c>
      <c r="O224" s="111">
        <f t="shared" si="49"/>
        <v>93.787509999999997</v>
      </c>
      <c r="P224" s="110">
        <f>'Detailed Report'!AM220</f>
        <v>0</v>
      </c>
      <c r="Q224" s="110">
        <f>'Detailed Report'!AN220</f>
        <v>0</v>
      </c>
      <c r="R224" s="110">
        <f>'Detailed Report'!AU220/1.14</f>
        <v>28.061403508771932</v>
      </c>
      <c r="S224" s="110">
        <f>'Detailed Report'!AU220-'........... - Otlob'!R224</f>
        <v>3.9285964912280669</v>
      </c>
    </row>
    <row r="225" spans="1:19" ht="14.45" customHeight="1" x14ac:dyDescent="0.25">
      <c r="A225" s="105">
        <f>+IF(B225="","",SUBTOTAL(3,B$8:B225))</f>
        <v>218</v>
      </c>
      <c r="B225" s="106" t="str">
        <f>'Detailed Report'!O221</f>
        <v>Fuddruckers - New Maadi</v>
      </c>
      <c r="C225" s="107">
        <f>TRUNC('Detailed Report'!Q221,0)</f>
        <v>46030</v>
      </c>
      <c r="D225" s="108">
        <f>'Detailed Report'!P221</f>
        <v>3388898541</v>
      </c>
      <c r="E225" s="106" t="str">
        <f>'Detailed Report'!S221</f>
        <v>Successful</v>
      </c>
      <c r="F225" s="109">
        <f>IF(E225=$E$6,('Detailed Report'!Y221),IF(E225=$E$5,(0),0))</f>
        <v>445.99</v>
      </c>
      <c r="G225" s="106">
        <f>IF(E225=$E$6,('Detailed Report'!AQ221),IF(E225=$E$5,('Detailed Report'!AW221),0))</f>
        <v>391.21929999999998</v>
      </c>
      <c r="H225" s="106">
        <f>'Detailed Report'!AS221</f>
        <v>97.804829999999995</v>
      </c>
      <c r="I225" s="106">
        <f>'Detailed Report'!AT221</f>
        <v>13.692676199999999</v>
      </c>
      <c r="J225" s="106">
        <f>'Detailed Report'!AO221</f>
        <v>7.8048250000000001</v>
      </c>
      <c r="K225" s="106">
        <f>'Detailed Report'!AP221</f>
        <v>1.0926754999999999</v>
      </c>
      <c r="L225" s="106">
        <f>'Detailed Report'!AU221/1.14</f>
        <v>25.42982456140351</v>
      </c>
      <c r="M225" s="106">
        <f>'Detailed Report'!AU221-L225</f>
        <v>3.5601754385964881</v>
      </c>
      <c r="N225" s="110">
        <f>'Detailed Report'!AW221</f>
        <v>296.60500000000002</v>
      </c>
      <c r="O225" s="111">
        <f t="shared" si="49"/>
        <v>94.614299999999957</v>
      </c>
      <c r="P225" s="110">
        <f>'Detailed Report'!AM221</f>
        <v>0</v>
      </c>
      <c r="Q225" s="110">
        <f>'Detailed Report'!AN221</f>
        <v>0</v>
      </c>
      <c r="R225" s="110">
        <f>'Detailed Report'!AU221/1.14</f>
        <v>25.42982456140351</v>
      </c>
      <c r="S225" s="110">
        <f>'Detailed Report'!AU221-'........... - Otlob'!R225</f>
        <v>3.5601754385964881</v>
      </c>
    </row>
    <row r="226" spans="1:19" ht="14.45" customHeight="1" x14ac:dyDescent="0.25">
      <c r="A226" s="105">
        <f>+IF(B226="","",SUBTOTAL(3,B$8:B226))</f>
        <v>219</v>
      </c>
      <c r="B226" s="106" t="str">
        <f>'Detailed Report'!O222</f>
        <v>Fuddruckers - Concord Plaza Mall</v>
      </c>
      <c r="C226" s="107">
        <f>TRUNC('Detailed Report'!Q222,0)</f>
        <v>46030</v>
      </c>
      <c r="D226" s="108">
        <f>'Detailed Report'!P222</f>
        <v>3388968153</v>
      </c>
      <c r="E226" s="106" t="str">
        <f>'Detailed Report'!S222</f>
        <v>Successful</v>
      </c>
      <c r="F226" s="109">
        <f>IF(E226=$E$6,('Detailed Report'!Y222),IF(E226=$E$5,(0),0))</f>
        <v>273.82</v>
      </c>
      <c r="G226" s="106">
        <f>IF(E226=$E$6,('Detailed Report'!AQ222),IF(E226=$E$5,('Detailed Report'!AW222),0))</f>
        <v>240.19298000000001</v>
      </c>
      <c r="H226" s="106">
        <f>'Detailed Report'!AS222</f>
        <v>60.048250000000003</v>
      </c>
      <c r="I226" s="106">
        <f>'Detailed Report'!AT222</f>
        <v>8.4067550000000004</v>
      </c>
      <c r="J226" s="106">
        <f>'Detailed Report'!AO222</f>
        <v>4.7918500000000002</v>
      </c>
      <c r="K226" s="106">
        <f>'Detailed Report'!AP222</f>
        <v>0.67085899999999998</v>
      </c>
      <c r="L226" s="106">
        <f>'Detailed Report'!AU222/1.14</f>
        <v>0</v>
      </c>
      <c r="M226" s="106">
        <f>'Detailed Report'!AU222-L226</f>
        <v>0</v>
      </c>
      <c r="N226" s="110">
        <f>'Detailed Report'!AW222</f>
        <v>199.90199999999999</v>
      </c>
      <c r="O226" s="111">
        <f t="shared" si="49"/>
        <v>40.290980000000019</v>
      </c>
      <c r="P226" s="110">
        <f>'Detailed Report'!AM222</f>
        <v>0</v>
      </c>
      <c r="Q226" s="110">
        <f>'Detailed Report'!AN222</f>
        <v>0</v>
      </c>
      <c r="R226" s="110">
        <f>'Detailed Report'!AU222/1.14</f>
        <v>0</v>
      </c>
      <c r="S226" s="110">
        <f>'Detailed Report'!AU222-'........... - Otlob'!R226</f>
        <v>0</v>
      </c>
    </row>
    <row r="227" spans="1:19" ht="14.45" customHeight="1" x14ac:dyDescent="0.25">
      <c r="A227" s="105">
        <f>+IF(B227="","",SUBTOTAL(3,B$8:B227))</f>
        <v>220</v>
      </c>
      <c r="B227" s="106" t="str">
        <f>'Detailed Report'!O223</f>
        <v>Fuddruckers - New Maadi</v>
      </c>
      <c r="C227" s="107">
        <f>TRUNC('Detailed Report'!Q223,0)</f>
        <v>46030</v>
      </c>
      <c r="D227" s="108">
        <f>'Detailed Report'!P223</f>
        <v>3388995104</v>
      </c>
      <c r="E227" s="106" t="str">
        <f>'Detailed Report'!S223</f>
        <v>Successful</v>
      </c>
      <c r="F227" s="109">
        <f>IF(E227=$E$6,('Detailed Report'!Y223),IF(E227=$E$5,(0),0))</f>
        <v>419.58</v>
      </c>
      <c r="G227" s="106">
        <f>IF(E227=$E$6,('Detailed Report'!AQ223),IF(E227=$E$5,('Detailed Report'!AW223),0))</f>
        <v>368.05263000000002</v>
      </c>
      <c r="H227" s="106">
        <f>'Detailed Report'!AS223</f>
        <v>92.013159999999999</v>
      </c>
      <c r="I227" s="106">
        <f>'Detailed Report'!AT223</f>
        <v>12.8818424</v>
      </c>
      <c r="J227" s="106">
        <f>'Detailed Report'!AO223</f>
        <v>0</v>
      </c>
      <c r="K227" s="106">
        <f>'Detailed Report'!AP223</f>
        <v>0</v>
      </c>
      <c r="L227" s="106">
        <f>'Detailed Report'!AU223/1.14</f>
        <v>27.184210526315791</v>
      </c>
      <c r="M227" s="106">
        <f>'Detailed Report'!AU223-L227</f>
        <v>3.8057894736842073</v>
      </c>
      <c r="N227" s="110">
        <f>'Detailed Report'!AW223</f>
        <v>283.69499999999999</v>
      </c>
      <c r="O227" s="111">
        <f t="shared" si="49"/>
        <v>84.357630000000029</v>
      </c>
      <c r="P227" s="110">
        <f>'Detailed Report'!AM223</f>
        <v>0</v>
      </c>
      <c r="Q227" s="110">
        <f>'Detailed Report'!AN223</f>
        <v>0</v>
      </c>
      <c r="R227" s="110">
        <f>'Detailed Report'!AU223/1.14</f>
        <v>27.184210526315791</v>
      </c>
      <c r="S227" s="110">
        <f>'Detailed Report'!AU223-'........... - Otlob'!R227</f>
        <v>3.8057894736842073</v>
      </c>
    </row>
    <row r="228" spans="1:19" ht="14.45" customHeight="1" x14ac:dyDescent="0.25">
      <c r="A228" s="105">
        <f>+IF(B228="","",SUBTOTAL(3,B$8:B228))</f>
        <v>221</v>
      </c>
      <c r="B228" s="106" t="str">
        <f>'Detailed Report'!O224</f>
        <v>Fuddruckers - New Maadi</v>
      </c>
      <c r="C228" s="107">
        <f>TRUNC('Detailed Report'!Q224,0)</f>
        <v>46030</v>
      </c>
      <c r="D228" s="108">
        <f>'Detailed Report'!P224</f>
        <v>3389019019</v>
      </c>
      <c r="E228" s="106" t="str">
        <f>'Detailed Report'!S224</f>
        <v>Successful</v>
      </c>
      <c r="F228" s="109">
        <f>IF(E228=$E$6,('Detailed Report'!Y224),IF(E228=$E$5,(0),0))</f>
        <v>674.99</v>
      </c>
      <c r="G228" s="106">
        <f>IF(E228=$E$6,('Detailed Report'!AQ224),IF(E228=$E$5,('Detailed Report'!AW224),0))</f>
        <v>592.09649000000002</v>
      </c>
      <c r="H228" s="106">
        <f>'Detailed Report'!AS224</f>
        <v>148.02412000000001</v>
      </c>
      <c r="I228" s="106">
        <f>'Detailed Report'!AT224</f>
        <v>20.7233768</v>
      </c>
      <c r="J228" s="106">
        <f>'Detailed Report'!AO224</f>
        <v>11.812325</v>
      </c>
      <c r="K228" s="106">
        <f>'Detailed Report'!AP224</f>
        <v>1.6537255</v>
      </c>
      <c r="L228" s="106">
        <f>'Detailed Report'!AU224/1.14</f>
        <v>26.307017543859651</v>
      </c>
      <c r="M228" s="106">
        <f>'Detailed Report'!AU224-L228</f>
        <v>3.6829824561403477</v>
      </c>
      <c r="N228" s="110">
        <f>'Detailed Report'!AW224</f>
        <v>462.786</v>
      </c>
      <c r="O228" s="111">
        <f t="shared" si="49"/>
        <v>129.31049000000002</v>
      </c>
      <c r="P228" s="110">
        <f>'Detailed Report'!AM224</f>
        <v>0</v>
      </c>
      <c r="Q228" s="110">
        <f>'Detailed Report'!AN224</f>
        <v>0</v>
      </c>
      <c r="R228" s="110">
        <f>'Detailed Report'!AU224/1.14</f>
        <v>26.307017543859651</v>
      </c>
      <c r="S228" s="110">
        <f>'Detailed Report'!AU224-'........... - Otlob'!R228</f>
        <v>3.6829824561403477</v>
      </c>
    </row>
    <row r="229" spans="1:19" ht="14.45" customHeight="1" x14ac:dyDescent="0.25">
      <c r="A229" s="105">
        <f>+IF(B229="","",SUBTOTAL(3,B$8:B229))</f>
        <v>222</v>
      </c>
      <c r="B229" s="106" t="str">
        <f>'Detailed Report'!O225</f>
        <v>Fuddruckers - City Stars</v>
      </c>
      <c r="C229" s="107">
        <f>TRUNC('Detailed Report'!Q225,0)</f>
        <v>46030</v>
      </c>
      <c r="D229" s="108">
        <f>'Detailed Report'!P225</f>
        <v>3389027587</v>
      </c>
      <c r="E229" s="106" t="str">
        <f>'Detailed Report'!S225</f>
        <v>Successful</v>
      </c>
      <c r="F229" s="109">
        <f>IF(E229=$E$6,('Detailed Report'!Y225),IF(E229=$E$5,(0),0))</f>
        <v>771.31</v>
      </c>
      <c r="G229" s="106">
        <f>IF(E229=$E$6,('Detailed Report'!AQ225),IF(E229=$E$5,('Detailed Report'!AW225),0))</f>
        <v>676.58771999999999</v>
      </c>
      <c r="H229" s="106">
        <f>'Detailed Report'!AS225</f>
        <v>169.14693</v>
      </c>
      <c r="I229" s="106">
        <f>'Detailed Report'!AT225</f>
        <v>23.680570199999998</v>
      </c>
      <c r="J229" s="106">
        <f>'Detailed Report'!AO225</f>
        <v>0</v>
      </c>
      <c r="K229" s="106">
        <f>'Detailed Report'!AP225</f>
        <v>0</v>
      </c>
      <c r="L229" s="106">
        <f>'Detailed Report'!AU225/1.14</f>
        <v>0</v>
      </c>
      <c r="M229" s="106">
        <f>'Detailed Report'!AU225-L229</f>
        <v>0</v>
      </c>
      <c r="N229" s="110">
        <f>'Detailed Report'!AW225</f>
        <v>578.48199999999997</v>
      </c>
      <c r="O229" s="111">
        <f t="shared" si="49"/>
        <v>98.105720000000019</v>
      </c>
      <c r="P229" s="110">
        <f>'Detailed Report'!AM225</f>
        <v>0</v>
      </c>
      <c r="Q229" s="110">
        <f>'Detailed Report'!AN225</f>
        <v>0</v>
      </c>
      <c r="R229" s="110">
        <f>'Detailed Report'!AU225/1.14</f>
        <v>0</v>
      </c>
      <c r="S229" s="110">
        <f>'Detailed Report'!AU225-'........... - Otlob'!R229</f>
        <v>0</v>
      </c>
    </row>
    <row r="230" spans="1:19" ht="14.45" customHeight="1" x14ac:dyDescent="0.25">
      <c r="A230" s="105">
        <f>+IF(B230="","",SUBTOTAL(3,B$8:B230))</f>
        <v>223</v>
      </c>
      <c r="B230" s="106" t="str">
        <f>'Detailed Report'!O226</f>
        <v>Fuddruckers - Concord Plaza Mall</v>
      </c>
      <c r="C230" s="107">
        <f>TRUNC('Detailed Report'!Q226,0)</f>
        <v>46030</v>
      </c>
      <c r="D230" s="108">
        <f>'Detailed Report'!P226</f>
        <v>3389066870</v>
      </c>
      <c r="E230" s="106" t="str">
        <f>'Detailed Report'!S226</f>
        <v>Successful</v>
      </c>
      <c r="F230" s="109">
        <f>IF(E230=$E$6,('Detailed Report'!Y226),IF(E230=$E$5,(0),0))</f>
        <v>319.99</v>
      </c>
      <c r="G230" s="106">
        <f>IF(E230=$E$6,('Detailed Report'!AQ226),IF(E230=$E$5,('Detailed Report'!AW226),0))</f>
        <v>280.69297999999998</v>
      </c>
      <c r="H230" s="106">
        <f>'Detailed Report'!AS226</f>
        <v>70.173249999999996</v>
      </c>
      <c r="I230" s="106">
        <f>'Detailed Report'!AT226</f>
        <v>9.8242550000000008</v>
      </c>
      <c r="J230" s="106">
        <f>'Detailed Report'!AO226</f>
        <v>0</v>
      </c>
      <c r="K230" s="106">
        <f>'Detailed Report'!AP226</f>
        <v>0</v>
      </c>
      <c r="L230" s="106">
        <f>'Detailed Report'!AU226/1.14</f>
        <v>27.184210526315791</v>
      </c>
      <c r="M230" s="106">
        <f>'Detailed Report'!AU226-L230</f>
        <v>3.8057894736842073</v>
      </c>
      <c r="N230" s="110">
        <f>'Detailed Report'!AW226</f>
        <v>209.00200000000001</v>
      </c>
      <c r="O230" s="111">
        <f t="shared" si="49"/>
        <v>71.690979999999968</v>
      </c>
      <c r="P230" s="110">
        <f>'Detailed Report'!AM226</f>
        <v>0</v>
      </c>
      <c r="Q230" s="110">
        <f>'Detailed Report'!AN226</f>
        <v>0</v>
      </c>
      <c r="R230" s="110">
        <f>'Detailed Report'!AU226/1.14</f>
        <v>27.184210526315791</v>
      </c>
      <c r="S230" s="110">
        <f>'Detailed Report'!AU226-'........... - Otlob'!R230</f>
        <v>3.8057894736842073</v>
      </c>
    </row>
    <row r="231" spans="1:19" ht="14.45" customHeight="1" x14ac:dyDescent="0.25">
      <c r="A231" s="105">
        <f>+IF(B231="","",SUBTOTAL(3,B$8:B231))</f>
        <v>224</v>
      </c>
      <c r="B231" s="106" t="str">
        <f>'Detailed Report'!O227</f>
        <v>Fuddruckers - New Maadi</v>
      </c>
      <c r="C231" s="107">
        <f>TRUNC('Detailed Report'!Q227,0)</f>
        <v>46030</v>
      </c>
      <c r="D231" s="108">
        <f>'Detailed Report'!P227</f>
        <v>3389070503</v>
      </c>
      <c r="E231" s="106" t="str">
        <f>'Detailed Report'!S227</f>
        <v>Successful</v>
      </c>
      <c r="F231" s="109">
        <f>IF(E231=$E$6,('Detailed Report'!Y227),IF(E231=$E$5,(0),0))</f>
        <v>451.67</v>
      </c>
      <c r="G231" s="106">
        <f>IF(E231=$E$6,('Detailed Report'!AQ227),IF(E231=$E$5,('Detailed Report'!AW227),0))</f>
        <v>396.20175</v>
      </c>
      <c r="H231" s="106">
        <f>'Detailed Report'!AS227</f>
        <v>99.050439999999995</v>
      </c>
      <c r="I231" s="106">
        <f>'Detailed Report'!AT227</f>
        <v>13.8670616</v>
      </c>
      <c r="J231" s="106">
        <f>'Detailed Report'!AO227</f>
        <v>7.9042250000000003</v>
      </c>
      <c r="K231" s="106">
        <f>'Detailed Report'!AP227</f>
        <v>1.1065915</v>
      </c>
      <c r="L231" s="106">
        <f>'Detailed Report'!AU227/1.14</f>
        <v>23.67543859649123</v>
      </c>
      <c r="M231" s="106">
        <f>'Detailed Report'!AU227-L231</f>
        <v>3.3145614035087689</v>
      </c>
      <c r="N231" s="110">
        <f>'Detailed Report'!AW227</f>
        <v>302.75200000000001</v>
      </c>
      <c r="O231" s="111">
        <f t="shared" si="49"/>
        <v>93.449749999999995</v>
      </c>
      <c r="P231" s="110">
        <f>'Detailed Report'!AM227</f>
        <v>0</v>
      </c>
      <c r="Q231" s="110">
        <f>'Detailed Report'!AN227</f>
        <v>0</v>
      </c>
      <c r="R231" s="110">
        <f>'Detailed Report'!AU227/1.14</f>
        <v>23.67543859649123</v>
      </c>
      <c r="S231" s="110">
        <f>'Detailed Report'!AU227-'........... - Otlob'!R231</f>
        <v>3.3145614035087689</v>
      </c>
    </row>
    <row r="232" spans="1:19" ht="14.45" customHeight="1" x14ac:dyDescent="0.25">
      <c r="A232" s="105">
        <f>+IF(B232="","",SUBTOTAL(3,B$8:B232))</f>
        <v>225</v>
      </c>
      <c r="B232" s="106" t="str">
        <f>'Detailed Report'!O228</f>
        <v>Fuddruckers - New Maadi</v>
      </c>
      <c r="C232" s="107">
        <f>TRUNC('Detailed Report'!Q228,0)</f>
        <v>46030</v>
      </c>
      <c r="D232" s="108">
        <f>'Detailed Report'!P228</f>
        <v>3389086196</v>
      </c>
      <c r="E232" s="106" t="str">
        <f>'Detailed Report'!S228</f>
        <v>Successful</v>
      </c>
      <c r="F232" s="109">
        <f>IF(E232=$E$6,('Detailed Report'!Y228),IF(E232=$E$5,(0),0))</f>
        <v>769.99</v>
      </c>
      <c r="G232" s="106">
        <f>IF(E232=$E$6,('Detailed Report'!AQ228),IF(E232=$E$5,('Detailed Report'!AW228),0))</f>
        <v>675.42981999999995</v>
      </c>
      <c r="H232" s="106">
        <f>'Detailed Report'!AS228</f>
        <v>168.85746</v>
      </c>
      <c r="I232" s="106">
        <f>'Detailed Report'!AT228</f>
        <v>23.640044400000001</v>
      </c>
      <c r="J232" s="106">
        <f>'Detailed Report'!AO228</f>
        <v>13.474824999999999</v>
      </c>
      <c r="K232" s="106">
        <f>'Detailed Report'!AP228</f>
        <v>1.8864755</v>
      </c>
      <c r="L232" s="106">
        <f>'Detailed Report'!AU228/1.14</f>
        <v>0</v>
      </c>
      <c r="M232" s="106">
        <f>'Detailed Report'!AU228-L232</f>
        <v>0</v>
      </c>
      <c r="N232" s="110">
        <f>'Detailed Report'!AW228</f>
        <v>562.13099999999997</v>
      </c>
      <c r="O232" s="111">
        <f t="shared" si="49"/>
        <v>113.29881999999998</v>
      </c>
      <c r="P232" s="110">
        <f>'Detailed Report'!AM228</f>
        <v>0</v>
      </c>
      <c r="Q232" s="110">
        <f>'Detailed Report'!AN228</f>
        <v>0</v>
      </c>
      <c r="R232" s="110">
        <f>'Detailed Report'!AU228/1.14</f>
        <v>0</v>
      </c>
      <c r="S232" s="110">
        <f>'Detailed Report'!AU228-'........... - Otlob'!R232</f>
        <v>0</v>
      </c>
    </row>
    <row r="233" spans="1:19" ht="14.45" customHeight="1" x14ac:dyDescent="0.25">
      <c r="A233" s="105">
        <f>+IF(B233="","",SUBTOTAL(3,B$8:B233))</f>
        <v>226</v>
      </c>
      <c r="B233" s="106" t="str">
        <f>'Detailed Report'!O229</f>
        <v>Fuddruckers - Concord Plaza Mall</v>
      </c>
      <c r="C233" s="107">
        <f>TRUNC('Detailed Report'!Q229,0)</f>
        <v>46030</v>
      </c>
      <c r="D233" s="108">
        <f>'Detailed Report'!P229</f>
        <v>3389095902</v>
      </c>
      <c r="E233" s="106" t="str">
        <f>'Detailed Report'!S229</f>
        <v>Successful</v>
      </c>
      <c r="F233" s="109">
        <f>IF(E233=$E$6,('Detailed Report'!Y229),IF(E233=$E$5,(0),0))</f>
        <v>361.97</v>
      </c>
      <c r="G233" s="106">
        <f>IF(E233=$E$6,('Detailed Report'!AQ229),IF(E233=$E$5,('Detailed Report'!AW229),0))</f>
        <v>317.51754</v>
      </c>
      <c r="H233" s="106">
        <f>'Detailed Report'!AS229</f>
        <v>79.379390000000001</v>
      </c>
      <c r="I233" s="106">
        <f>'Detailed Report'!AT229</f>
        <v>11.113114599999999</v>
      </c>
      <c r="J233" s="106">
        <f>'Detailed Report'!AO229</f>
        <v>6.3344750000000003</v>
      </c>
      <c r="K233" s="106">
        <f>'Detailed Report'!AP229</f>
        <v>0.88682649999999996</v>
      </c>
      <c r="L233" s="106">
        <f>'Detailed Report'!AU229/1.14</f>
        <v>0</v>
      </c>
      <c r="M233" s="106">
        <f>'Detailed Report'!AU229-L233</f>
        <v>0</v>
      </c>
      <c r="N233" s="110">
        <f>'Detailed Report'!AW229</f>
        <v>264.25599999999997</v>
      </c>
      <c r="O233" s="111">
        <f t="shared" si="49"/>
        <v>53.261540000000025</v>
      </c>
      <c r="P233" s="110">
        <f>'Detailed Report'!AM229</f>
        <v>0</v>
      </c>
      <c r="Q233" s="110">
        <f>'Detailed Report'!AN229</f>
        <v>0</v>
      </c>
      <c r="R233" s="110">
        <f>'Detailed Report'!AU229/1.14</f>
        <v>0</v>
      </c>
      <c r="S233" s="110">
        <f>'Detailed Report'!AU229-'........... - Otlob'!R233</f>
        <v>0</v>
      </c>
    </row>
    <row r="234" spans="1:19" ht="14.45" customHeight="1" x14ac:dyDescent="0.25">
      <c r="A234" s="105">
        <f>+IF(B234="","",SUBTOTAL(3,B$8:B234))</f>
        <v>227</v>
      </c>
      <c r="B234" s="106" t="str">
        <f>'Detailed Report'!O230</f>
        <v>Fuddruckers - Concord Plaza Mall</v>
      </c>
      <c r="C234" s="107">
        <f>TRUNC('Detailed Report'!Q230,0)</f>
        <v>46030</v>
      </c>
      <c r="D234" s="108">
        <f>'Detailed Report'!P230</f>
        <v>3389110938</v>
      </c>
      <c r="E234" s="106" t="str">
        <f>'Detailed Report'!S230</f>
        <v>Successful</v>
      </c>
      <c r="F234" s="109">
        <f>IF(E234=$E$6,('Detailed Report'!Y230),IF(E234=$E$5,(0),0))</f>
        <v>355.99</v>
      </c>
      <c r="G234" s="106">
        <f>IF(E234=$E$6,('Detailed Report'!AQ230),IF(E234=$E$5,('Detailed Report'!AW230),0))</f>
        <v>312.27193</v>
      </c>
      <c r="H234" s="106">
        <f>'Detailed Report'!AS230</f>
        <v>78.067980000000006</v>
      </c>
      <c r="I234" s="106">
        <f>'Detailed Report'!AT230</f>
        <v>10.929517199999999</v>
      </c>
      <c r="J234" s="106">
        <f>'Detailed Report'!AO230</f>
        <v>6.2298249999999999</v>
      </c>
      <c r="K234" s="106">
        <f>'Detailed Report'!AP230</f>
        <v>0.87217549999999999</v>
      </c>
      <c r="L234" s="106">
        <f>'Detailed Report'!AU230/1.14</f>
        <v>0</v>
      </c>
      <c r="M234" s="106">
        <f>'Detailed Report'!AU230-L234</f>
        <v>0</v>
      </c>
      <c r="N234" s="110">
        <f>'Detailed Report'!AW230</f>
        <v>259.89100000000002</v>
      </c>
      <c r="O234" s="111">
        <f t="shared" si="49"/>
        <v>52.380929999999978</v>
      </c>
      <c r="P234" s="110">
        <f>'Detailed Report'!AM230</f>
        <v>0</v>
      </c>
      <c r="Q234" s="110">
        <f>'Detailed Report'!AN230</f>
        <v>0</v>
      </c>
      <c r="R234" s="110">
        <f>'Detailed Report'!AU230/1.14</f>
        <v>0</v>
      </c>
      <c r="S234" s="110">
        <f>'Detailed Report'!AU230-'........... - Otlob'!R234</f>
        <v>0</v>
      </c>
    </row>
    <row r="235" spans="1:19" ht="14.45" customHeight="1" x14ac:dyDescent="0.25">
      <c r="A235" s="105">
        <f>+IF(B235="","",SUBTOTAL(3,B$8:B235))</f>
        <v>228</v>
      </c>
      <c r="B235" s="106" t="str">
        <f>'Detailed Report'!O231</f>
        <v>Fuddruckers - Concord Plaza Mall</v>
      </c>
      <c r="C235" s="107">
        <f>TRUNC('Detailed Report'!Q231,0)</f>
        <v>46030</v>
      </c>
      <c r="D235" s="108">
        <f>'Detailed Report'!P231</f>
        <v>3389139519</v>
      </c>
      <c r="E235" s="106" t="str">
        <f>'Detailed Report'!S231</f>
        <v>Successful</v>
      </c>
      <c r="F235" s="109">
        <f>IF(E235=$E$6,('Detailed Report'!Y231),IF(E235=$E$5,(0),0))</f>
        <v>217.86</v>
      </c>
      <c r="G235" s="106">
        <f>IF(E235=$E$6,('Detailed Report'!AQ231),IF(E235=$E$5,('Detailed Report'!AW231),0))</f>
        <v>191.10525999999999</v>
      </c>
      <c r="H235" s="106">
        <f>'Detailed Report'!AS231</f>
        <v>47.776319999999998</v>
      </c>
      <c r="I235" s="106">
        <f>'Detailed Report'!AT231</f>
        <v>6.6886847999999999</v>
      </c>
      <c r="J235" s="106">
        <f>'Detailed Report'!AO231</f>
        <v>3.8125499999999999</v>
      </c>
      <c r="K235" s="106">
        <f>'Detailed Report'!AP231</f>
        <v>0.53375700000000004</v>
      </c>
      <c r="L235" s="106">
        <f>'Detailed Report'!AU231/1.14</f>
        <v>27.184210526315791</v>
      </c>
      <c r="M235" s="106">
        <f>'Detailed Report'!AU231-L235</f>
        <v>3.8057894736842073</v>
      </c>
      <c r="N235" s="110">
        <f>'Detailed Report'!AW231</f>
        <v>128.059</v>
      </c>
      <c r="O235" s="111">
        <f t="shared" si="49"/>
        <v>63.04625999999999</v>
      </c>
      <c r="P235" s="110">
        <f>'Detailed Report'!AM231</f>
        <v>0</v>
      </c>
      <c r="Q235" s="110">
        <f>'Detailed Report'!AN231</f>
        <v>0</v>
      </c>
      <c r="R235" s="110">
        <f>'Detailed Report'!AU231/1.14</f>
        <v>27.184210526315791</v>
      </c>
      <c r="S235" s="110">
        <f>'Detailed Report'!AU231-'........... - Otlob'!R235</f>
        <v>3.8057894736842073</v>
      </c>
    </row>
    <row r="236" spans="1:19" ht="14.45" customHeight="1" x14ac:dyDescent="0.25">
      <c r="A236" s="105">
        <f>+IF(B236="","",SUBTOTAL(3,B$8:B236))</f>
        <v>229</v>
      </c>
      <c r="B236" s="106" t="str">
        <f>'Detailed Report'!O232</f>
        <v>Fuddruckers - New Maadi</v>
      </c>
      <c r="C236" s="107">
        <f>TRUNC('Detailed Report'!Q232,0)</f>
        <v>46031</v>
      </c>
      <c r="D236" s="108">
        <f>'Detailed Report'!P232</f>
        <v>3389899245</v>
      </c>
      <c r="E236" s="106" t="str">
        <f>'Detailed Report'!S232</f>
        <v>Successful</v>
      </c>
      <c r="F236" s="109">
        <f>IF(E236=$E$6,('Detailed Report'!Y232),IF(E236=$E$5,(0),0))</f>
        <v>589.98</v>
      </c>
      <c r="G236" s="106">
        <f>IF(E236=$E$6,('Detailed Report'!AQ232),IF(E236=$E$5,('Detailed Report'!AW232),0))</f>
        <v>517.52632000000006</v>
      </c>
      <c r="H236" s="106">
        <f>'Detailed Report'!AS232</f>
        <v>129.38158000000001</v>
      </c>
      <c r="I236" s="106">
        <f>'Detailed Report'!AT232</f>
        <v>18.113421200000001</v>
      </c>
      <c r="J236" s="106">
        <f>'Detailed Report'!AO232</f>
        <v>10.32465</v>
      </c>
      <c r="K236" s="106">
        <f>'Detailed Report'!AP232</f>
        <v>1.445451</v>
      </c>
      <c r="L236" s="106">
        <f>'Detailed Report'!AU232/1.14</f>
        <v>25.42982456140351</v>
      </c>
      <c r="M236" s="106">
        <f>'Detailed Report'!AU232-L236</f>
        <v>3.5601754385964881</v>
      </c>
      <c r="N236" s="110">
        <f>'Detailed Report'!AW232</f>
        <v>401.72500000000002</v>
      </c>
      <c r="O236" s="111">
        <f t="shared" si="49"/>
        <v>115.80132000000003</v>
      </c>
      <c r="P236" s="110">
        <f>'Detailed Report'!AM232</f>
        <v>0</v>
      </c>
      <c r="Q236" s="110">
        <f>'Detailed Report'!AN232</f>
        <v>0</v>
      </c>
      <c r="R236" s="110">
        <f>'Detailed Report'!AU232/1.14</f>
        <v>25.42982456140351</v>
      </c>
      <c r="S236" s="110">
        <f>'Detailed Report'!AU232-'........... - Otlob'!R236</f>
        <v>3.5601754385964881</v>
      </c>
    </row>
    <row r="237" spans="1:19" ht="14.45" customHeight="1" x14ac:dyDescent="0.25">
      <c r="A237" s="105">
        <f>+IF(B237="","",SUBTOTAL(3,B$8:B237))</f>
        <v>230</v>
      </c>
      <c r="B237" s="106" t="str">
        <f>'Detailed Report'!O233</f>
        <v>Fuddruckers - New Maadi</v>
      </c>
      <c r="C237" s="107">
        <f>TRUNC('Detailed Report'!Q233,0)</f>
        <v>46031</v>
      </c>
      <c r="D237" s="108">
        <f>'Detailed Report'!P233</f>
        <v>3390018249</v>
      </c>
      <c r="E237" s="106" t="str">
        <f>'Detailed Report'!S233</f>
        <v>Successful</v>
      </c>
      <c r="F237" s="109">
        <f>IF(E237=$E$6,('Detailed Report'!Y233),IF(E237=$E$5,(0),0))</f>
        <v>411.97</v>
      </c>
      <c r="G237" s="106">
        <f>IF(E237=$E$6,('Detailed Report'!AQ233),IF(E237=$E$5,('Detailed Report'!AW233),0))</f>
        <v>361.37718999999998</v>
      </c>
      <c r="H237" s="106">
        <f>'Detailed Report'!AS233</f>
        <v>90.344300000000004</v>
      </c>
      <c r="I237" s="106">
        <f>'Detailed Report'!AT233</f>
        <v>12.648202</v>
      </c>
      <c r="J237" s="106">
        <f>'Detailed Report'!AO233</f>
        <v>7.2094750000000003</v>
      </c>
      <c r="K237" s="106">
        <f>'Detailed Report'!AP233</f>
        <v>1.0093265</v>
      </c>
      <c r="L237" s="106">
        <f>'Detailed Report'!AU233/1.14</f>
        <v>23.67543859649123</v>
      </c>
      <c r="M237" s="106">
        <f>'Detailed Report'!AU233-L237</f>
        <v>3.3145614035087689</v>
      </c>
      <c r="N237" s="110">
        <f>'Detailed Report'!AW233</f>
        <v>273.76900000000001</v>
      </c>
      <c r="O237" s="111">
        <f t="shared" si="49"/>
        <v>87.608189999999979</v>
      </c>
      <c r="P237" s="110">
        <f>'Detailed Report'!AM233</f>
        <v>0</v>
      </c>
      <c r="Q237" s="110">
        <f>'Detailed Report'!AN233</f>
        <v>0</v>
      </c>
      <c r="R237" s="110">
        <f>'Detailed Report'!AU233/1.14</f>
        <v>23.67543859649123</v>
      </c>
      <c r="S237" s="110">
        <f>'Detailed Report'!AU233-'........... - Otlob'!R237</f>
        <v>3.3145614035087689</v>
      </c>
    </row>
    <row r="238" spans="1:19" ht="14.45" customHeight="1" x14ac:dyDescent="0.25">
      <c r="A238" s="105">
        <f>+IF(B238="","",SUBTOTAL(3,B$8:B238))</f>
        <v>231</v>
      </c>
      <c r="B238" s="106" t="str">
        <f>'Detailed Report'!O234</f>
        <v>Fuddruckers - Concord Plaza Mall</v>
      </c>
      <c r="C238" s="107">
        <f>TRUNC('Detailed Report'!Q234,0)</f>
        <v>46031</v>
      </c>
      <c r="D238" s="108">
        <f>'Detailed Report'!P234</f>
        <v>3390092588</v>
      </c>
      <c r="E238" s="106" t="str">
        <f>'Detailed Report'!S234</f>
        <v>Successful</v>
      </c>
      <c r="F238" s="109">
        <f>IF(E238=$E$6,('Detailed Report'!Y234),IF(E238=$E$5,(0),0))</f>
        <v>2821.93</v>
      </c>
      <c r="G238" s="106">
        <f>IF(E238=$E$6,('Detailed Report'!AQ234),IF(E238=$E$5,('Detailed Report'!AW234),0))</f>
        <v>2475.3771900000002</v>
      </c>
      <c r="H238" s="106">
        <f>'Detailed Report'!AS234</f>
        <v>618.84429999999998</v>
      </c>
      <c r="I238" s="106">
        <f>'Detailed Report'!AT234</f>
        <v>86.638202000000007</v>
      </c>
      <c r="J238" s="106">
        <f>'Detailed Report'!AO234</f>
        <v>49.383773249999997</v>
      </c>
      <c r="K238" s="106">
        <f>'Detailed Report'!AP234</f>
        <v>6.9137282549999997</v>
      </c>
      <c r="L238" s="106">
        <f>'Detailed Report'!AU234/1.14</f>
        <v>29.815789473684216</v>
      </c>
      <c r="M238" s="106">
        <f>'Detailed Report'!AU234-L238</f>
        <v>4.174210526315786</v>
      </c>
      <c r="N238" s="110">
        <f>'Detailed Report'!AW234</f>
        <v>2026.16</v>
      </c>
      <c r="O238" s="111">
        <f t="shared" si="49"/>
        <v>449.21719000000007</v>
      </c>
      <c r="P238" s="110">
        <f>'Detailed Report'!AM234</f>
        <v>0</v>
      </c>
      <c r="Q238" s="110">
        <f>'Detailed Report'!AN234</f>
        <v>0</v>
      </c>
      <c r="R238" s="110">
        <f>'Detailed Report'!AU234/1.14</f>
        <v>29.815789473684216</v>
      </c>
      <c r="S238" s="110">
        <f>'Detailed Report'!AU234-'........... - Otlob'!R238</f>
        <v>4.174210526315786</v>
      </c>
    </row>
    <row r="239" spans="1:19" ht="14.45" customHeight="1" x14ac:dyDescent="0.25">
      <c r="A239" s="105">
        <f>+IF(B239="","",SUBTOTAL(3,B$8:B239))</f>
        <v>232</v>
      </c>
      <c r="B239" s="106" t="str">
        <f>'Detailed Report'!O235</f>
        <v>Fuddruckers - New Maadi</v>
      </c>
      <c r="C239" s="107">
        <f>TRUNC('Detailed Report'!Q235,0)</f>
        <v>46031</v>
      </c>
      <c r="D239" s="108">
        <f>'Detailed Report'!P235</f>
        <v>3390202729</v>
      </c>
      <c r="E239" s="106" t="str">
        <f>'Detailed Report'!S235</f>
        <v>Successful</v>
      </c>
      <c r="F239" s="109">
        <f>IF(E239=$E$6,('Detailed Report'!Y235),IF(E239=$E$5,(0),0))</f>
        <v>1042.98</v>
      </c>
      <c r="G239" s="106">
        <f>IF(E239=$E$6,('Detailed Report'!AQ235),IF(E239=$E$5,('Detailed Report'!AW235),0))</f>
        <v>914.89473999999996</v>
      </c>
      <c r="H239" s="106">
        <f>'Detailed Report'!AS235</f>
        <v>228.72369</v>
      </c>
      <c r="I239" s="106">
        <f>'Detailed Report'!AT235</f>
        <v>32.021316599999999</v>
      </c>
      <c r="J239" s="106">
        <f>'Detailed Report'!AO235</f>
        <v>18.25215</v>
      </c>
      <c r="K239" s="106">
        <f>'Detailed Report'!AP235</f>
        <v>2.555301</v>
      </c>
      <c r="L239" s="106">
        <f>'Detailed Report'!AU235/1.14</f>
        <v>26.307017543859651</v>
      </c>
      <c r="M239" s="106">
        <f>'Detailed Report'!AU235-L239</f>
        <v>3.6829824561403477</v>
      </c>
      <c r="N239" s="110">
        <f>'Detailed Report'!AW235</f>
        <v>731.43799999999999</v>
      </c>
      <c r="O239" s="111">
        <f t="shared" si="49"/>
        <v>183.45673999999997</v>
      </c>
      <c r="P239" s="110">
        <f>'Detailed Report'!AM235</f>
        <v>0</v>
      </c>
      <c r="Q239" s="110">
        <f>'Detailed Report'!AN235</f>
        <v>0</v>
      </c>
      <c r="R239" s="110">
        <f>'Detailed Report'!AU235/1.14</f>
        <v>26.307017543859651</v>
      </c>
      <c r="S239" s="110">
        <f>'Detailed Report'!AU235-'........... - Otlob'!R239</f>
        <v>3.6829824561403477</v>
      </c>
    </row>
    <row r="240" spans="1:19" ht="14.45" customHeight="1" x14ac:dyDescent="0.25">
      <c r="A240" s="105">
        <f>+IF(B240="","",SUBTOTAL(3,B$8:B240))</f>
        <v>233</v>
      </c>
      <c r="B240" s="106" t="str">
        <f>'Detailed Report'!O236</f>
        <v>Fuddruckers - Concord Plaza Mall</v>
      </c>
      <c r="C240" s="107">
        <f>TRUNC('Detailed Report'!Q236,0)</f>
        <v>46031</v>
      </c>
      <c r="D240" s="108">
        <f>'Detailed Report'!P236</f>
        <v>3390274392</v>
      </c>
      <c r="E240" s="106" t="str">
        <f>'Detailed Report'!S236</f>
        <v>Successful</v>
      </c>
      <c r="F240" s="109">
        <f>IF(E240=$E$6,('Detailed Report'!Y236),IF(E240=$E$5,(0),0))</f>
        <v>355.99</v>
      </c>
      <c r="G240" s="106">
        <f>IF(E240=$E$6,('Detailed Report'!AQ236),IF(E240=$E$5,('Detailed Report'!AW236),0))</f>
        <v>312.27193</v>
      </c>
      <c r="H240" s="106">
        <f>'Detailed Report'!AS236</f>
        <v>78.067980000000006</v>
      </c>
      <c r="I240" s="106">
        <f>'Detailed Report'!AT236</f>
        <v>10.929517199999999</v>
      </c>
      <c r="J240" s="106">
        <f>'Detailed Report'!AO236</f>
        <v>0</v>
      </c>
      <c r="K240" s="106">
        <f>'Detailed Report'!AP236</f>
        <v>0</v>
      </c>
      <c r="L240" s="106">
        <f>'Detailed Report'!AU236/1.14</f>
        <v>0</v>
      </c>
      <c r="M240" s="106">
        <f>'Detailed Report'!AU236-L240</f>
        <v>0</v>
      </c>
      <c r="N240" s="110">
        <f>'Detailed Report'!AW236</f>
        <v>266.99299999999999</v>
      </c>
      <c r="O240" s="111">
        <f t="shared" si="49"/>
        <v>45.278930000000003</v>
      </c>
      <c r="P240" s="110">
        <f>'Detailed Report'!AM236</f>
        <v>0</v>
      </c>
      <c r="Q240" s="110">
        <f>'Detailed Report'!AN236</f>
        <v>0</v>
      </c>
      <c r="R240" s="110">
        <f>'Detailed Report'!AU236/1.14</f>
        <v>0</v>
      </c>
      <c r="S240" s="110">
        <f>'Detailed Report'!AU236-'........... - Otlob'!R240</f>
        <v>0</v>
      </c>
    </row>
    <row r="241" spans="1:19" ht="14.45" customHeight="1" x14ac:dyDescent="0.25">
      <c r="A241" s="105">
        <f>+IF(B241="","",SUBTOTAL(3,B$8:B241))</f>
        <v>234</v>
      </c>
      <c r="B241" s="106" t="str">
        <f>'Detailed Report'!O237</f>
        <v>Fuddruckers - Concord Plaza Mall</v>
      </c>
      <c r="C241" s="107">
        <f>TRUNC('Detailed Report'!Q237,0)</f>
        <v>46031</v>
      </c>
      <c r="D241" s="108">
        <f>'Detailed Report'!P237</f>
        <v>3390292884</v>
      </c>
      <c r="E241" s="106" t="str">
        <f>'Detailed Report'!S237</f>
        <v>Successful</v>
      </c>
      <c r="F241" s="109">
        <f>IF(E241=$E$6,('Detailed Report'!Y237),IF(E241=$E$5,(0),0))</f>
        <v>846.02</v>
      </c>
      <c r="G241" s="106">
        <f>IF(E241=$E$6,('Detailed Report'!AQ237),IF(E241=$E$5,('Detailed Report'!AW237),0))</f>
        <v>742.12280999999996</v>
      </c>
      <c r="H241" s="106">
        <f>'Detailed Report'!AS237</f>
        <v>185.5307</v>
      </c>
      <c r="I241" s="106">
        <f>'Detailed Report'!AT237</f>
        <v>25.974298000000001</v>
      </c>
      <c r="J241" s="106">
        <f>'Detailed Report'!AO237</f>
        <v>0</v>
      </c>
      <c r="K241" s="106">
        <f>'Detailed Report'!AP237</f>
        <v>0</v>
      </c>
      <c r="L241" s="106">
        <f>'Detailed Report'!AU237/1.14</f>
        <v>29.815789473684216</v>
      </c>
      <c r="M241" s="106">
        <f>'Detailed Report'!AU237-L241</f>
        <v>4.174210526315786</v>
      </c>
      <c r="N241" s="110">
        <f>'Detailed Report'!AW237</f>
        <v>600.52499999999998</v>
      </c>
      <c r="O241" s="111">
        <f t="shared" si="49"/>
        <v>141.59780999999998</v>
      </c>
      <c r="P241" s="110">
        <f>'Detailed Report'!AM237</f>
        <v>0</v>
      </c>
      <c r="Q241" s="110">
        <f>'Detailed Report'!AN237</f>
        <v>0</v>
      </c>
      <c r="R241" s="110">
        <f>'Detailed Report'!AU237/1.14</f>
        <v>29.815789473684216</v>
      </c>
      <c r="S241" s="110">
        <f>'Detailed Report'!AU237-'........... - Otlob'!R241</f>
        <v>4.174210526315786</v>
      </c>
    </row>
    <row r="242" spans="1:19" ht="14.45" customHeight="1" x14ac:dyDescent="0.25">
      <c r="A242" s="105">
        <f>+IF(B242="","",SUBTOTAL(3,B$8:B242))</f>
        <v>235</v>
      </c>
      <c r="B242" s="106" t="str">
        <f>'Detailed Report'!O238</f>
        <v>Fuddruckers - New Maadi</v>
      </c>
      <c r="C242" s="107">
        <f>TRUNC('Detailed Report'!Q238,0)</f>
        <v>46031</v>
      </c>
      <c r="D242" s="108">
        <f>'Detailed Report'!P238</f>
        <v>3390376627</v>
      </c>
      <c r="E242" s="106" t="str">
        <f>'Detailed Report'!S238</f>
        <v>Successful</v>
      </c>
      <c r="F242" s="109">
        <f>IF(E242=$E$6,('Detailed Report'!Y238),IF(E242=$E$5,(0),0))</f>
        <v>765.98</v>
      </c>
      <c r="G242" s="106">
        <f>IF(E242=$E$6,('Detailed Report'!AQ238),IF(E242=$E$5,('Detailed Report'!AW238),0))</f>
        <v>671.91228000000001</v>
      </c>
      <c r="H242" s="106">
        <f>'Detailed Report'!AS238</f>
        <v>167.97807</v>
      </c>
      <c r="I242" s="106">
        <f>'Detailed Report'!AT238</f>
        <v>23.5169298</v>
      </c>
      <c r="J242" s="106">
        <f>'Detailed Report'!AO238</f>
        <v>13.40465</v>
      </c>
      <c r="K242" s="106">
        <f>'Detailed Report'!AP238</f>
        <v>1.8766510000000001</v>
      </c>
      <c r="L242" s="106">
        <f>'Detailed Report'!AU238/1.14</f>
        <v>23.67543859649123</v>
      </c>
      <c r="M242" s="106">
        <f>'Detailed Report'!AU238-L242</f>
        <v>3.3145614035087689</v>
      </c>
      <c r="N242" s="110">
        <f>'Detailed Report'!AW238</f>
        <v>532.21400000000006</v>
      </c>
      <c r="O242" s="111">
        <f t="shared" si="49"/>
        <v>139.69827999999995</v>
      </c>
      <c r="P242" s="110">
        <f>'Detailed Report'!AM238</f>
        <v>0</v>
      </c>
      <c r="Q242" s="110">
        <f>'Detailed Report'!AN238</f>
        <v>0</v>
      </c>
      <c r="R242" s="110">
        <f>'Detailed Report'!AU238/1.14</f>
        <v>23.67543859649123</v>
      </c>
      <c r="S242" s="110">
        <f>'Detailed Report'!AU238-'........... - Otlob'!R242</f>
        <v>3.3145614035087689</v>
      </c>
    </row>
    <row r="243" spans="1:19" ht="14.45" customHeight="1" x14ac:dyDescent="0.25">
      <c r="A243" s="105">
        <f>+IF(B243="","",SUBTOTAL(3,B$8:B243))</f>
        <v>236</v>
      </c>
      <c r="B243" s="106" t="str">
        <f>'Detailed Report'!O239</f>
        <v>Fuddruckers - City Stars</v>
      </c>
      <c r="C243" s="107">
        <f>TRUNC('Detailed Report'!Q239,0)</f>
        <v>46031</v>
      </c>
      <c r="D243" s="108">
        <f>'Detailed Report'!P239</f>
        <v>3390400722</v>
      </c>
      <c r="E243" s="106" t="str">
        <f>'Detailed Report'!S239</f>
        <v>Successful</v>
      </c>
      <c r="F243" s="109">
        <f>IF(E243=$E$6,('Detailed Report'!Y239),IF(E243=$E$5,(0),0))</f>
        <v>638.98</v>
      </c>
      <c r="G243" s="106">
        <f>IF(E243=$E$6,('Detailed Report'!AQ239),IF(E243=$E$5,('Detailed Report'!AW239),0))</f>
        <v>560.50877000000003</v>
      </c>
      <c r="H243" s="106">
        <f>'Detailed Report'!AS239</f>
        <v>140.12719000000001</v>
      </c>
      <c r="I243" s="106">
        <f>'Detailed Report'!AT239</f>
        <v>19.617806600000002</v>
      </c>
      <c r="J243" s="106">
        <f>'Detailed Report'!AO239</f>
        <v>11.18215</v>
      </c>
      <c r="K243" s="106">
        <f>'Detailed Report'!AP239</f>
        <v>1.565501</v>
      </c>
      <c r="L243" s="106">
        <f>'Detailed Report'!AU239/1.14</f>
        <v>26.307017543859651</v>
      </c>
      <c r="M243" s="106">
        <f>'Detailed Report'!AU239-L243</f>
        <v>3.6829824561403477</v>
      </c>
      <c r="N243" s="110">
        <f>'Detailed Report'!AW239</f>
        <v>436.49700000000001</v>
      </c>
      <c r="O243" s="111">
        <f t="shared" si="49"/>
        <v>124.01177000000001</v>
      </c>
      <c r="P243" s="110">
        <f>'Detailed Report'!AM239</f>
        <v>0</v>
      </c>
      <c r="Q243" s="110">
        <f>'Detailed Report'!AN239</f>
        <v>0</v>
      </c>
      <c r="R243" s="110">
        <f>'Detailed Report'!AU239/1.14</f>
        <v>26.307017543859651</v>
      </c>
      <c r="S243" s="110">
        <f>'Detailed Report'!AU239-'........... - Otlob'!R243</f>
        <v>3.6829824561403477</v>
      </c>
    </row>
    <row r="244" spans="1:19" ht="14.45" customHeight="1" x14ac:dyDescent="0.25">
      <c r="A244" s="105">
        <f>+IF(B244="","",SUBTOTAL(3,B$8:B244))</f>
        <v>237</v>
      </c>
      <c r="B244" s="106" t="str">
        <f>'Detailed Report'!O240</f>
        <v>Fuddruckers - Concord Plaza Mall</v>
      </c>
      <c r="C244" s="107">
        <f>TRUNC('Detailed Report'!Q240,0)</f>
        <v>46031</v>
      </c>
      <c r="D244" s="108">
        <f>'Detailed Report'!P240</f>
        <v>3390444538</v>
      </c>
      <c r="E244" s="106" t="str">
        <f>'Detailed Report'!S240</f>
        <v>Successful</v>
      </c>
      <c r="F244" s="109">
        <f>IF(E244=$E$6,('Detailed Report'!Y240),IF(E244=$E$5,(0),0))</f>
        <v>209.99</v>
      </c>
      <c r="G244" s="106">
        <f>IF(E244=$E$6,('Detailed Report'!AQ240),IF(E244=$E$5,('Detailed Report'!AW240),0))</f>
        <v>216.64912000000001</v>
      </c>
      <c r="H244" s="106">
        <f>'Detailed Report'!AS240</f>
        <v>54.162280000000003</v>
      </c>
      <c r="I244" s="106">
        <f>'Detailed Report'!AT240</f>
        <v>7.5827191999999997</v>
      </c>
      <c r="J244" s="106">
        <f>'Detailed Report'!AO240</f>
        <v>3.832325</v>
      </c>
      <c r="K244" s="106">
        <f>'Detailed Report'!AP240</f>
        <v>0.53652549999999999</v>
      </c>
      <c r="L244" s="106">
        <f>'Detailed Report'!AU240/1.14</f>
        <v>0</v>
      </c>
      <c r="M244" s="106">
        <f>'Detailed Report'!AU240-L244</f>
        <v>0</v>
      </c>
      <c r="N244" s="110">
        <f>'Detailed Report'!AW240</f>
        <v>143.876</v>
      </c>
      <c r="O244" s="111">
        <f t="shared" si="49"/>
        <v>72.773120000000006</v>
      </c>
      <c r="P244" s="110">
        <f>'Detailed Report'!AM240</f>
        <v>0</v>
      </c>
      <c r="Q244" s="110">
        <f>'Detailed Report'!AN240</f>
        <v>0</v>
      </c>
      <c r="R244" s="110">
        <f>'Detailed Report'!AU240/1.14</f>
        <v>0</v>
      </c>
      <c r="S244" s="110">
        <f>'Detailed Report'!AU240-'........... - Otlob'!R244</f>
        <v>0</v>
      </c>
    </row>
    <row r="245" spans="1:19" ht="14.45" customHeight="1" x14ac:dyDescent="0.25">
      <c r="A245" s="105">
        <f>+IF(B245="","",SUBTOTAL(3,B$8:B245))</f>
        <v>238</v>
      </c>
      <c r="B245" s="106" t="str">
        <f>'Detailed Report'!O241</f>
        <v>Fuddruckers - New Maadi</v>
      </c>
      <c r="C245" s="107">
        <f>TRUNC('Detailed Report'!Q241,0)</f>
        <v>46031</v>
      </c>
      <c r="D245" s="108">
        <f>'Detailed Report'!P241</f>
        <v>3390485279</v>
      </c>
      <c r="E245" s="106" t="str">
        <f>'Detailed Report'!S241</f>
        <v>Successful</v>
      </c>
      <c r="F245" s="109">
        <f>IF(E245=$E$6,('Detailed Report'!Y241),IF(E245=$E$5,(0),0))</f>
        <v>1212.71</v>
      </c>
      <c r="G245" s="106">
        <f>IF(E245=$E$6,('Detailed Report'!AQ241),IF(E245=$E$5,('Detailed Report'!AW241),0))</f>
        <v>1063.7807</v>
      </c>
      <c r="H245" s="106">
        <f>'Detailed Report'!AS241</f>
        <v>265.94517999999999</v>
      </c>
      <c r="I245" s="106">
        <f>'Detailed Report'!AT241</f>
        <v>37.232325199999998</v>
      </c>
      <c r="J245" s="106">
        <f>'Detailed Report'!AO241</f>
        <v>21.222425000000001</v>
      </c>
      <c r="K245" s="106">
        <f>'Detailed Report'!AP241</f>
        <v>2.9711395</v>
      </c>
      <c r="L245" s="106">
        <f>'Detailed Report'!AU241/1.14</f>
        <v>23.67543859649123</v>
      </c>
      <c r="M245" s="106">
        <f>'Detailed Report'!AU241-L245</f>
        <v>3.3145614035087689</v>
      </c>
      <c r="N245" s="110">
        <f>'Detailed Report'!AW241</f>
        <v>858.34900000000005</v>
      </c>
      <c r="O245" s="111">
        <f t="shared" si="49"/>
        <v>205.43169999999998</v>
      </c>
      <c r="P245" s="110">
        <f>'Detailed Report'!AM241</f>
        <v>0</v>
      </c>
      <c r="Q245" s="110">
        <f>'Detailed Report'!AN241</f>
        <v>0</v>
      </c>
      <c r="R245" s="110">
        <f>'Detailed Report'!AU241/1.14</f>
        <v>23.67543859649123</v>
      </c>
      <c r="S245" s="110">
        <f>'Detailed Report'!AU241-'........... - Otlob'!R245</f>
        <v>3.3145614035087689</v>
      </c>
    </row>
    <row r="246" spans="1:19" ht="14.45" customHeight="1" x14ac:dyDescent="0.25">
      <c r="A246" s="105">
        <f>+IF(B246="","",SUBTOTAL(3,B$8:B246))</f>
        <v>239</v>
      </c>
      <c r="B246" s="106" t="str">
        <f>'Detailed Report'!O242</f>
        <v>Fuddruckers - New Maadi</v>
      </c>
      <c r="C246" s="107">
        <f>TRUNC('Detailed Report'!Q242,0)</f>
        <v>46031</v>
      </c>
      <c r="D246" s="108">
        <f>'Detailed Report'!P242</f>
        <v>3390537847</v>
      </c>
      <c r="E246" s="106" t="str">
        <f>'Detailed Report'!S242</f>
        <v>Successful</v>
      </c>
      <c r="F246" s="109">
        <f>IF(E246=$E$6,('Detailed Report'!Y242),IF(E246=$E$5,(0),0))</f>
        <v>387.92</v>
      </c>
      <c r="G246" s="106">
        <f>IF(E246=$E$6,('Detailed Report'!AQ242),IF(E246=$E$5,('Detailed Report'!AW242),0))</f>
        <v>340.28070000000002</v>
      </c>
      <c r="H246" s="106">
        <f>'Detailed Report'!AS242</f>
        <v>85.070179999999993</v>
      </c>
      <c r="I246" s="106">
        <f>'Detailed Report'!AT242</f>
        <v>11.9098252</v>
      </c>
      <c r="J246" s="106">
        <f>'Detailed Report'!AO242</f>
        <v>6.7885999999999997</v>
      </c>
      <c r="K246" s="106">
        <f>'Detailed Report'!AP242</f>
        <v>0.95040400000000003</v>
      </c>
      <c r="L246" s="106">
        <f>'Detailed Report'!AU242/1.14</f>
        <v>0</v>
      </c>
      <c r="M246" s="106">
        <f>'Detailed Report'!AU242-L246</f>
        <v>0</v>
      </c>
      <c r="N246" s="110">
        <f>'Detailed Report'!AW242</f>
        <v>283.20100000000002</v>
      </c>
      <c r="O246" s="111">
        <f t="shared" si="49"/>
        <v>57.079700000000003</v>
      </c>
      <c r="P246" s="110">
        <f>'Detailed Report'!AM242</f>
        <v>0</v>
      </c>
      <c r="Q246" s="110">
        <f>'Detailed Report'!AN242</f>
        <v>0</v>
      </c>
      <c r="R246" s="110">
        <f>'Detailed Report'!AU242/1.14</f>
        <v>0</v>
      </c>
      <c r="S246" s="110">
        <f>'Detailed Report'!AU242-'........... - Otlob'!R246</f>
        <v>0</v>
      </c>
    </row>
    <row r="247" spans="1:19" ht="14.45" customHeight="1" x14ac:dyDescent="0.25">
      <c r="A247" s="105">
        <f>+IF(B247="","",SUBTOTAL(3,B$8:B247))</f>
        <v>240</v>
      </c>
      <c r="B247" s="106" t="str">
        <f>'Detailed Report'!O243</f>
        <v>Fuddruckers - Concord Plaza Mall</v>
      </c>
      <c r="C247" s="107">
        <f>TRUNC('Detailed Report'!Q243,0)</f>
        <v>46031</v>
      </c>
      <c r="D247" s="108">
        <f>'Detailed Report'!P243</f>
        <v>3390569461</v>
      </c>
      <c r="E247" s="106" t="str">
        <f>'Detailed Report'!S243</f>
        <v>Successful</v>
      </c>
      <c r="F247" s="109">
        <f>IF(E247=$E$6,('Detailed Report'!Y243),IF(E247=$E$5,(0),0))</f>
        <v>804.98</v>
      </c>
      <c r="G247" s="106">
        <f>IF(E247=$E$6,('Detailed Report'!AQ243),IF(E247=$E$5,('Detailed Report'!AW243),0))</f>
        <v>706.12280999999996</v>
      </c>
      <c r="H247" s="106">
        <f>'Detailed Report'!AS243</f>
        <v>176.5307</v>
      </c>
      <c r="I247" s="106">
        <f>'Detailed Report'!AT243</f>
        <v>24.714297999999999</v>
      </c>
      <c r="J247" s="106">
        <f>'Detailed Report'!AO243</f>
        <v>14.087149999999999</v>
      </c>
      <c r="K247" s="106">
        <f>'Detailed Report'!AP243</f>
        <v>1.9722010000000001</v>
      </c>
      <c r="L247" s="106">
        <f>'Detailed Report'!AU243/1.14</f>
        <v>0</v>
      </c>
      <c r="M247" s="106">
        <f>'Detailed Report'!AU243-L247</f>
        <v>0</v>
      </c>
      <c r="N247" s="110">
        <f>'Detailed Report'!AW243</f>
        <v>587.67600000000004</v>
      </c>
      <c r="O247" s="111">
        <f t="shared" si="49"/>
        <v>118.44680999999991</v>
      </c>
      <c r="P247" s="110">
        <f>'Detailed Report'!AM243</f>
        <v>0</v>
      </c>
      <c r="Q247" s="110">
        <f>'Detailed Report'!AN243</f>
        <v>0</v>
      </c>
      <c r="R247" s="110">
        <f>'Detailed Report'!AU243/1.14</f>
        <v>0</v>
      </c>
      <c r="S247" s="110">
        <f>'Detailed Report'!AU243-'........... - Otlob'!R247</f>
        <v>0</v>
      </c>
    </row>
    <row r="248" spans="1:19" ht="14.45" customHeight="1" x14ac:dyDescent="0.25">
      <c r="A248" s="105">
        <f>+IF(B248="","",SUBTOTAL(3,B$8:B248))</f>
        <v>241</v>
      </c>
      <c r="B248" s="106" t="str">
        <f>'Detailed Report'!O244</f>
        <v>Fuddruckers - New Maadi</v>
      </c>
      <c r="C248" s="107">
        <f>TRUNC('Detailed Report'!Q244,0)</f>
        <v>46031</v>
      </c>
      <c r="D248" s="108">
        <f>'Detailed Report'!P244</f>
        <v>3390577548</v>
      </c>
      <c r="E248" s="106" t="str">
        <f>'Detailed Report'!S244</f>
        <v>Successful</v>
      </c>
      <c r="F248" s="109">
        <f>IF(E248=$E$6,('Detailed Report'!Y244),IF(E248=$E$5,(0),0))</f>
        <v>570.17999999999995</v>
      </c>
      <c r="G248" s="106">
        <f>IF(E248=$E$6,('Detailed Report'!AQ244),IF(E248=$E$5,('Detailed Report'!AW244),0))</f>
        <v>500.15789000000001</v>
      </c>
      <c r="H248" s="106">
        <f>'Detailed Report'!AS244</f>
        <v>125.03946999999999</v>
      </c>
      <c r="I248" s="106">
        <f>'Detailed Report'!AT244</f>
        <v>17.505525800000001</v>
      </c>
      <c r="J248" s="106">
        <f>'Detailed Report'!AO244</f>
        <v>9.9781499999999994</v>
      </c>
      <c r="K248" s="106">
        <f>'Detailed Report'!AP244</f>
        <v>1.396941</v>
      </c>
      <c r="L248" s="106">
        <f>'Detailed Report'!AU244/1.14</f>
        <v>26.307017543859651</v>
      </c>
      <c r="M248" s="106">
        <f>'Detailed Report'!AU244-L248</f>
        <v>3.6829824561403477</v>
      </c>
      <c r="N248" s="110">
        <f>'Detailed Report'!AW244</f>
        <v>386.27</v>
      </c>
      <c r="O248" s="111">
        <f t="shared" si="49"/>
        <v>113.88789000000003</v>
      </c>
      <c r="P248" s="110">
        <f>'Detailed Report'!AM244</f>
        <v>0</v>
      </c>
      <c r="Q248" s="110">
        <f>'Detailed Report'!AN244</f>
        <v>0</v>
      </c>
      <c r="R248" s="110">
        <f>'Detailed Report'!AU244/1.14</f>
        <v>26.307017543859651</v>
      </c>
      <c r="S248" s="110">
        <f>'Detailed Report'!AU244-'........... - Otlob'!R248</f>
        <v>3.6829824561403477</v>
      </c>
    </row>
    <row r="249" spans="1:19" ht="14.45" customHeight="1" x14ac:dyDescent="0.25">
      <c r="A249" s="105">
        <f>+IF(B249="","",SUBTOTAL(3,B$8:B249))</f>
        <v>242</v>
      </c>
      <c r="B249" s="106" t="str">
        <f>'Detailed Report'!O245</f>
        <v>Fuddruckers - Concord Plaza Mall</v>
      </c>
      <c r="C249" s="107">
        <f>TRUNC('Detailed Report'!Q245,0)</f>
        <v>46031</v>
      </c>
      <c r="D249" s="108">
        <f>'Detailed Report'!P245</f>
        <v>3390587027</v>
      </c>
      <c r="E249" s="106" t="str">
        <f>'Detailed Report'!S245</f>
        <v>Successful</v>
      </c>
      <c r="F249" s="109">
        <f>IF(E249=$E$6,('Detailed Report'!Y245),IF(E249=$E$5,(0),0))</f>
        <v>767.99</v>
      </c>
      <c r="G249" s="106">
        <f>IF(E249=$E$6,('Detailed Report'!AQ245),IF(E249=$E$5,('Detailed Report'!AW245),0))</f>
        <v>673.67543999999998</v>
      </c>
      <c r="H249" s="106">
        <f>'Detailed Report'!AS245</f>
        <v>168.41886</v>
      </c>
      <c r="I249" s="106">
        <f>'Detailed Report'!AT245</f>
        <v>23.578640400000001</v>
      </c>
      <c r="J249" s="106">
        <f>'Detailed Report'!AO245</f>
        <v>13.439825000000001</v>
      </c>
      <c r="K249" s="106">
        <f>'Detailed Report'!AP245</f>
        <v>1.8815755000000001</v>
      </c>
      <c r="L249" s="106">
        <f>'Detailed Report'!AU245/1.14</f>
        <v>27.184210526315791</v>
      </c>
      <c r="M249" s="106">
        <f>'Detailed Report'!AU245-L249</f>
        <v>3.8057894736842073</v>
      </c>
      <c r="N249" s="110">
        <f>'Detailed Report'!AW245</f>
        <v>529.68100000000004</v>
      </c>
      <c r="O249" s="111">
        <f t="shared" si="49"/>
        <v>143.99443999999994</v>
      </c>
      <c r="P249" s="110">
        <f>'Detailed Report'!AM245</f>
        <v>0</v>
      </c>
      <c r="Q249" s="110">
        <f>'Detailed Report'!AN245</f>
        <v>0</v>
      </c>
      <c r="R249" s="110">
        <f>'Detailed Report'!AU245/1.14</f>
        <v>27.184210526315791</v>
      </c>
      <c r="S249" s="110">
        <f>'Detailed Report'!AU245-'........... - Otlob'!R249</f>
        <v>3.8057894736842073</v>
      </c>
    </row>
    <row r="250" spans="1:19" ht="14.45" customHeight="1" x14ac:dyDescent="0.25">
      <c r="A250" s="105">
        <f>+IF(B250="","",SUBTOTAL(3,B$8:B250))</f>
        <v>243</v>
      </c>
      <c r="B250" s="106" t="str">
        <f>'Detailed Report'!O246</f>
        <v>Fuddruckers - Concord Plaza Mall</v>
      </c>
      <c r="C250" s="107">
        <f>TRUNC('Detailed Report'!Q246,0)</f>
        <v>46031</v>
      </c>
      <c r="D250" s="108">
        <f>'Detailed Report'!P246</f>
        <v>3390694272</v>
      </c>
      <c r="E250" s="106" t="str">
        <f>'Detailed Report'!S246</f>
        <v>Successful</v>
      </c>
      <c r="F250" s="109">
        <f>IF(E250=$E$6,('Detailed Report'!Y246),IF(E250=$E$5,(0),0))</f>
        <v>462.28</v>
      </c>
      <c r="G250" s="106">
        <f>IF(E250=$E$6,('Detailed Report'!AQ246),IF(E250=$E$5,('Detailed Report'!AW246),0))</f>
        <v>405.50877000000003</v>
      </c>
      <c r="H250" s="106">
        <f>'Detailed Report'!AS246</f>
        <v>101.37719</v>
      </c>
      <c r="I250" s="106">
        <f>'Detailed Report'!AT246</f>
        <v>14.192806600000001</v>
      </c>
      <c r="J250" s="106">
        <f>'Detailed Report'!AO246</f>
        <v>8.0899000000000001</v>
      </c>
      <c r="K250" s="106">
        <f>'Detailed Report'!AP246</f>
        <v>1.1325860000000001</v>
      </c>
      <c r="L250" s="106">
        <f>'Detailed Report'!AU246/1.14</f>
        <v>28.061403508771932</v>
      </c>
      <c r="M250" s="106">
        <f>'Detailed Report'!AU246-L250</f>
        <v>3.9285964912280669</v>
      </c>
      <c r="N250" s="110">
        <f>'Detailed Report'!AW246</f>
        <v>305.49799999999999</v>
      </c>
      <c r="O250" s="111">
        <f t="shared" si="49"/>
        <v>100.01077000000004</v>
      </c>
      <c r="P250" s="110">
        <f>'Detailed Report'!AM246</f>
        <v>0</v>
      </c>
      <c r="Q250" s="110">
        <f>'Detailed Report'!AN246</f>
        <v>0</v>
      </c>
      <c r="R250" s="110">
        <f>'Detailed Report'!AU246/1.14</f>
        <v>28.061403508771932</v>
      </c>
      <c r="S250" s="110">
        <f>'Detailed Report'!AU246-'........... - Otlob'!R250</f>
        <v>3.9285964912280669</v>
      </c>
    </row>
    <row r="251" spans="1:19" ht="14.45" customHeight="1" x14ac:dyDescent="0.25">
      <c r="A251" s="105">
        <f>+IF(B251="","",SUBTOTAL(3,B$8:B251))</f>
        <v>244</v>
      </c>
      <c r="B251" s="106" t="str">
        <f>'Detailed Report'!O247</f>
        <v>Fuddruckers - City Stars</v>
      </c>
      <c r="C251" s="107">
        <f>TRUNC('Detailed Report'!Q247,0)</f>
        <v>46031</v>
      </c>
      <c r="D251" s="108">
        <f>'Detailed Report'!P247</f>
        <v>3390884757</v>
      </c>
      <c r="E251" s="106" t="str">
        <f>'Detailed Report'!S247</f>
        <v>Successful</v>
      </c>
      <c r="F251" s="109">
        <f>IF(E251=$E$6,('Detailed Report'!Y247),IF(E251=$E$5,(0),0))</f>
        <v>339.82</v>
      </c>
      <c r="G251" s="106">
        <f>IF(E251=$E$6,('Detailed Report'!AQ247),IF(E251=$E$5,('Detailed Report'!AW247),0))</f>
        <v>298.08771999999999</v>
      </c>
      <c r="H251" s="106">
        <f>'Detailed Report'!AS247</f>
        <v>74.521929999999998</v>
      </c>
      <c r="I251" s="106">
        <f>'Detailed Report'!AT247</f>
        <v>10.4330702</v>
      </c>
      <c r="J251" s="106">
        <f>'Detailed Report'!AO247</f>
        <v>5.9468500000000004</v>
      </c>
      <c r="K251" s="106">
        <f>'Detailed Report'!AP247</f>
        <v>0.83255900000000005</v>
      </c>
      <c r="L251" s="106">
        <f>'Detailed Report'!AU247/1.14</f>
        <v>25.42982456140351</v>
      </c>
      <c r="M251" s="106">
        <f>'Detailed Report'!AU247-L251</f>
        <v>3.5601754385964881</v>
      </c>
      <c r="N251" s="110">
        <f>'Detailed Report'!AW247</f>
        <v>219.096</v>
      </c>
      <c r="O251" s="111">
        <f t="shared" si="49"/>
        <v>78.991719999999987</v>
      </c>
      <c r="P251" s="110">
        <f>'Detailed Report'!AM247</f>
        <v>0</v>
      </c>
      <c r="Q251" s="110">
        <f>'Detailed Report'!AN247</f>
        <v>0</v>
      </c>
      <c r="R251" s="110">
        <f>'Detailed Report'!AU247/1.14</f>
        <v>25.42982456140351</v>
      </c>
      <c r="S251" s="110">
        <f>'Detailed Report'!AU247-'........... - Otlob'!R251</f>
        <v>3.5601754385964881</v>
      </c>
    </row>
    <row r="252" spans="1:19" ht="14.45" customHeight="1" x14ac:dyDescent="0.25">
      <c r="A252" s="105">
        <f>+IF(B252="","",SUBTOTAL(3,B$8:B252))</f>
        <v>245</v>
      </c>
      <c r="B252" s="106" t="str">
        <f>'Detailed Report'!O248</f>
        <v>Fuddruckers - New Maadi</v>
      </c>
      <c r="C252" s="107">
        <f>TRUNC('Detailed Report'!Q248,0)</f>
        <v>46031</v>
      </c>
      <c r="D252" s="108">
        <f>'Detailed Report'!P248</f>
        <v>3390937042</v>
      </c>
      <c r="E252" s="106" t="str">
        <f>'Detailed Report'!S248</f>
        <v>Successful</v>
      </c>
      <c r="F252" s="109">
        <f>IF(E252=$E$6,('Detailed Report'!Y248),IF(E252=$E$5,(0),0))</f>
        <v>464.98</v>
      </c>
      <c r="G252" s="106">
        <f>IF(E252=$E$6,('Detailed Report'!AQ248),IF(E252=$E$5,('Detailed Report'!AW248),0))</f>
        <v>407.87718999999998</v>
      </c>
      <c r="H252" s="106">
        <f>'Detailed Report'!AS248</f>
        <v>101.9693</v>
      </c>
      <c r="I252" s="106">
        <f>'Detailed Report'!AT248</f>
        <v>14.275702000000001</v>
      </c>
      <c r="J252" s="106">
        <f>'Detailed Report'!AO248</f>
        <v>0</v>
      </c>
      <c r="K252" s="106">
        <f>'Detailed Report'!AP248</f>
        <v>0</v>
      </c>
      <c r="L252" s="106">
        <f>'Detailed Report'!AU248/1.14</f>
        <v>23.67543859649123</v>
      </c>
      <c r="M252" s="106">
        <f>'Detailed Report'!AU248-L252</f>
        <v>3.3145614035087689</v>
      </c>
      <c r="N252" s="110">
        <f>'Detailed Report'!AW248</f>
        <v>321.745</v>
      </c>
      <c r="O252" s="111">
        <f t="shared" si="49"/>
        <v>86.13218999999998</v>
      </c>
      <c r="P252" s="110">
        <f>'Detailed Report'!AM248</f>
        <v>0</v>
      </c>
      <c r="Q252" s="110">
        <f>'Detailed Report'!AN248</f>
        <v>0</v>
      </c>
      <c r="R252" s="110">
        <f>'Detailed Report'!AU248/1.14</f>
        <v>23.67543859649123</v>
      </c>
      <c r="S252" s="110">
        <f>'Detailed Report'!AU248-'........... - Otlob'!R252</f>
        <v>3.3145614035087689</v>
      </c>
    </row>
    <row r="253" spans="1:19" ht="14.45" customHeight="1" x14ac:dyDescent="0.25">
      <c r="A253" s="105">
        <f>+IF(B253="","",SUBTOTAL(3,B$8:B253))</f>
        <v>246</v>
      </c>
      <c r="B253" s="106" t="str">
        <f>'Detailed Report'!O249</f>
        <v>Fuddruckers - New Maadi</v>
      </c>
      <c r="C253" s="107">
        <f>TRUNC('Detailed Report'!Q249,0)</f>
        <v>46031</v>
      </c>
      <c r="D253" s="108">
        <f>'Detailed Report'!P249</f>
        <v>3391023096</v>
      </c>
      <c r="E253" s="106" t="str">
        <f>'Detailed Report'!S249</f>
        <v>Successful</v>
      </c>
      <c r="F253" s="109">
        <f>IF(E253=$E$6,('Detailed Report'!Y249),IF(E253=$E$5,(0),0))</f>
        <v>341.58</v>
      </c>
      <c r="G253" s="106">
        <f>IF(E253=$E$6,('Detailed Report'!AQ249),IF(E253=$E$5,('Detailed Report'!AW249),0))</f>
        <v>299.63157999999999</v>
      </c>
      <c r="H253" s="106">
        <f>'Detailed Report'!AS249</f>
        <v>74.907899999999998</v>
      </c>
      <c r="I253" s="106">
        <f>'Detailed Report'!AT249</f>
        <v>10.487106000000001</v>
      </c>
      <c r="J253" s="106">
        <f>'Detailed Report'!AO249</f>
        <v>5.9776499999999997</v>
      </c>
      <c r="K253" s="106">
        <f>'Detailed Report'!AP249</f>
        <v>0.83687100000000003</v>
      </c>
      <c r="L253" s="106">
        <f>'Detailed Report'!AU249/1.14</f>
        <v>27.184210526315791</v>
      </c>
      <c r="M253" s="106">
        <f>'Detailed Report'!AU249-L253</f>
        <v>3.8057894736842073</v>
      </c>
      <c r="N253" s="110">
        <f>'Detailed Report'!AW249</f>
        <v>218.38</v>
      </c>
      <c r="O253" s="111">
        <f t="shared" si="49"/>
        <v>81.25157999999999</v>
      </c>
      <c r="P253" s="110">
        <f>'Detailed Report'!AM249</f>
        <v>0</v>
      </c>
      <c r="Q253" s="110">
        <f>'Detailed Report'!AN249</f>
        <v>0</v>
      </c>
      <c r="R253" s="110">
        <f>'Detailed Report'!AU249/1.14</f>
        <v>27.184210526315791</v>
      </c>
      <c r="S253" s="110">
        <f>'Detailed Report'!AU249-'........... - Otlob'!R253</f>
        <v>3.8057894736842073</v>
      </c>
    </row>
    <row r="254" spans="1:19" ht="14.45" customHeight="1" x14ac:dyDescent="0.25">
      <c r="A254" s="105">
        <f>+IF(B254="","",SUBTOTAL(3,B$8:B254))</f>
        <v>247</v>
      </c>
      <c r="B254" s="106" t="str">
        <f>'Detailed Report'!O250</f>
        <v>Fuddruckers - New Maadi</v>
      </c>
      <c r="C254" s="107">
        <f>TRUNC('Detailed Report'!Q250,0)</f>
        <v>46031</v>
      </c>
      <c r="D254" s="108">
        <f>'Detailed Report'!P250</f>
        <v>3391027594</v>
      </c>
      <c r="E254" s="106" t="str">
        <f>'Detailed Report'!S250</f>
        <v>Successful</v>
      </c>
      <c r="F254" s="109">
        <f>IF(E254=$E$6,('Detailed Report'!Y250),IF(E254=$E$5,(0),0))</f>
        <v>758.57</v>
      </c>
      <c r="G254" s="106">
        <f>IF(E254=$E$6,('Detailed Report'!AQ250),IF(E254=$E$5,('Detailed Report'!AW250),0))</f>
        <v>665.41228000000001</v>
      </c>
      <c r="H254" s="106">
        <f>'Detailed Report'!AS250</f>
        <v>166.35307</v>
      </c>
      <c r="I254" s="106">
        <f>'Detailed Report'!AT250</f>
        <v>23.289429800000001</v>
      </c>
      <c r="J254" s="106">
        <f>'Detailed Report'!AO250</f>
        <v>13.274975</v>
      </c>
      <c r="K254" s="106">
        <f>'Detailed Report'!AP250</f>
        <v>1.8584965</v>
      </c>
      <c r="L254" s="106">
        <f>'Detailed Report'!AU250/1.14</f>
        <v>0</v>
      </c>
      <c r="M254" s="106">
        <f>'Detailed Report'!AU250-L254</f>
        <v>0</v>
      </c>
      <c r="N254" s="110">
        <f>'Detailed Report'!AW250</f>
        <v>553.79399999999998</v>
      </c>
      <c r="O254" s="111">
        <f t="shared" si="49"/>
        <v>111.61828000000003</v>
      </c>
      <c r="P254" s="110">
        <f>'Detailed Report'!AM250</f>
        <v>0</v>
      </c>
      <c r="Q254" s="110">
        <f>'Detailed Report'!AN250</f>
        <v>0</v>
      </c>
      <c r="R254" s="110">
        <f>'Detailed Report'!AU250/1.14</f>
        <v>0</v>
      </c>
      <c r="S254" s="110">
        <f>'Detailed Report'!AU250-'........... - Otlob'!R254</f>
        <v>0</v>
      </c>
    </row>
    <row r="255" spans="1:19" ht="14.45" customHeight="1" x14ac:dyDescent="0.25">
      <c r="A255" s="105">
        <f>+IF(B255="","",SUBTOTAL(3,B$8:B255))</f>
        <v>248</v>
      </c>
      <c r="B255" s="106" t="str">
        <f>'Detailed Report'!O251</f>
        <v>Fuddruckers - Concord Plaza Mall</v>
      </c>
      <c r="C255" s="107">
        <f>TRUNC('Detailed Report'!Q251,0)</f>
        <v>46031</v>
      </c>
      <c r="D255" s="108">
        <f>'Detailed Report'!P251</f>
        <v>3391068528</v>
      </c>
      <c r="E255" s="106" t="str">
        <f>'Detailed Report'!S251</f>
        <v>Successful</v>
      </c>
      <c r="F255" s="109">
        <f>IF(E255=$E$6,('Detailed Report'!Y251),IF(E255=$E$5,(0),0))</f>
        <v>400.99</v>
      </c>
      <c r="G255" s="106">
        <f>IF(E255=$E$6,('Detailed Report'!AQ251),IF(E255=$E$5,('Detailed Report'!AW251),0))</f>
        <v>351.74561</v>
      </c>
      <c r="H255" s="106">
        <f>'Detailed Report'!AS251</f>
        <v>87.936400000000006</v>
      </c>
      <c r="I255" s="106">
        <f>'Detailed Report'!AT251</f>
        <v>12.311095999999999</v>
      </c>
      <c r="J255" s="106">
        <f>'Detailed Report'!AO251</f>
        <v>7.0173249999999996</v>
      </c>
      <c r="K255" s="106">
        <f>'Detailed Report'!AP251</f>
        <v>0.98242549999999995</v>
      </c>
      <c r="L255" s="106">
        <f>'Detailed Report'!AU251/1.14</f>
        <v>27.184210526315791</v>
      </c>
      <c r="M255" s="106">
        <f>'Detailed Report'!AU251-L255</f>
        <v>3.8057894736842073</v>
      </c>
      <c r="N255" s="110">
        <f>'Detailed Report'!AW251</f>
        <v>261.75299999999999</v>
      </c>
      <c r="O255" s="111">
        <f t="shared" si="49"/>
        <v>89.992610000000013</v>
      </c>
      <c r="P255" s="110">
        <f>'Detailed Report'!AM251</f>
        <v>0</v>
      </c>
      <c r="Q255" s="110">
        <f>'Detailed Report'!AN251</f>
        <v>0</v>
      </c>
      <c r="R255" s="110">
        <f>'Detailed Report'!AU251/1.14</f>
        <v>27.184210526315791</v>
      </c>
      <c r="S255" s="110">
        <f>'Detailed Report'!AU251-'........... - Otlob'!R255</f>
        <v>3.8057894736842073</v>
      </c>
    </row>
    <row r="256" spans="1:19" ht="14.45" customHeight="1" x14ac:dyDescent="0.25">
      <c r="A256" s="105">
        <f>+IF(B256="","",SUBTOTAL(3,B$8:B256))</f>
        <v>249</v>
      </c>
      <c r="B256" s="106" t="str">
        <f>'Detailed Report'!O252</f>
        <v>Fuddruckers - New Maadi</v>
      </c>
      <c r="C256" s="107">
        <f>TRUNC('Detailed Report'!Q252,0)</f>
        <v>46032</v>
      </c>
      <c r="D256" s="108">
        <f>'Detailed Report'!P252</f>
        <v>3391607001</v>
      </c>
      <c r="E256" s="106" t="str">
        <f>'Detailed Report'!S252</f>
        <v>Successful</v>
      </c>
      <c r="F256" s="109">
        <f>IF(E256=$E$6,('Detailed Report'!Y252),IF(E256=$E$5,(0),0))</f>
        <v>769.99</v>
      </c>
      <c r="G256" s="106">
        <f>IF(E256=$E$6,('Detailed Report'!AQ252),IF(E256=$E$5,('Detailed Report'!AW252),0))</f>
        <v>675.42981999999995</v>
      </c>
      <c r="H256" s="106">
        <f>'Detailed Report'!AS252</f>
        <v>168.85746</v>
      </c>
      <c r="I256" s="106">
        <f>'Detailed Report'!AT252</f>
        <v>23.640044400000001</v>
      </c>
      <c r="J256" s="106">
        <f>'Detailed Report'!AO252</f>
        <v>13.474824999999999</v>
      </c>
      <c r="K256" s="106">
        <f>'Detailed Report'!AP252</f>
        <v>1.8864755</v>
      </c>
      <c r="L256" s="106">
        <f>'Detailed Report'!AU252/1.14</f>
        <v>26.307017543859651</v>
      </c>
      <c r="M256" s="106">
        <f>'Detailed Report'!AU252-L256</f>
        <v>3.6829824561403477</v>
      </c>
      <c r="N256" s="110">
        <f>'Detailed Report'!AW252</f>
        <v>532.14099999999996</v>
      </c>
      <c r="O256" s="111">
        <f t="shared" si="49"/>
        <v>143.28881999999999</v>
      </c>
      <c r="P256" s="110">
        <f>'Detailed Report'!AM252</f>
        <v>0</v>
      </c>
      <c r="Q256" s="110">
        <f>'Detailed Report'!AN252</f>
        <v>0</v>
      </c>
      <c r="R256" s="110">
        <f>'Detailed Report'!AU252/1.14</f>
        <v>26.307017543859651</v>
      </c>
      <c r="S256" s="110">
        <f>'Detailed Report'!AU252-'........... - Otlob'!R256</f>
        <v>3.6829824561403477</v>
      </c>
    </row>
    <row r="257" spans="1:19" ht="14.45" customHeight="1" x14ac:dyDescent="0.25">
      <c r="A257" s="105">
        <f>+IF(B257="","",SUBTOTAL(3,B$8:B257))</f>
        <v>250</v>
      </c>
      <c r="B257" s="106" t="str">
        <f>'Detailed Report'!O253</f>
        <v>Fuddruckers - City Stars</v>
      </c>
      <c r="C257" s="107">
        <f>TRUNC('Detailed Report'!Q253,0)</f>
        <v>46032</v>
      </c>
      <c r="D257" s="108">
        <f>'Detailed Report'!P253</f>
        <v>3391735091</v>
      </c>
      <c r="E257" s="106" t="str">
        <f>'Detailed Report'!S253</f>
        <v>Successful</v>
      </c>
      <c r="F257" s="109">
        <f>IF(E257=$E$6,('Detailed Report'!Y253),IF(E257=$E$5,(0),0))</f>
        <v>333.98</v>
      </c>
      <c r="G257" s="106">
        <f>IF(E257=$E$6,('Detailed Report'!AQ253),IF(E257=$E$5,('Detailed Report'!AW253),0))</f>
        <v>292.96490999999997</v>
      </c>
      <c r="H257" s="106">
        <f>'Detailed Report'!AS253</f>
        <v>73.241230000000002</v>
      </c>
      <c r="I257" s="106">
        <f>'Detailed Report'!AT253</f>
        <v>10.2537722</v>
      </c>
      <c r="J257" s="106">
        <f>'Detailed Report'!AO253</f>
        <v>5.8446499999999997</v>
      </c>
      <c r="K257" s="106">
        <f>'Detailed Report'!AP253</f>
        <v>0.81825099999999995</v>
      </c>
      <c r="L257" s="106">
        <f>'Detailed Report'!AU253/1.14</f>
        <v>25.42982456140351</v>
      </c>
      <c r="M257" s="106">
        <f>'Detailed Report'!AU253-L257</f>
        <v>3.5601754385964881</v>
      </c>
      <c r="N257" s="110">
        <f>'Detailed Report'!AW253</f>
        <v>214.83199999999999</v>
      </c>
      <c r="O257" s="111">
        <f t="shared" si="49"/>
        <v>78.132909999999981</v>
      </c>
      <c r="P257" s="110">
        <f>'Detailed Report'!AM253</f>
        <v>0</v>
      </c>
      <c r="Q257" s="110">
        <f>'Detailed Report'!AN253</f>
        <v>0</v>
      </c>
      <c r="R257" s="110">
        <f>'Detailed Report'!AU253/1.14</f>
        <v>25.42982456140351</v>
      </c>
      <c r="S257" s="110">
        <f>'Detailed Report'!AU253-'........... - Otlob'!R257</f>
        <v>3.5601754385964881</v>
      </c>
    </row>
    <row r="258" spans="1:19" ht="14.45" customHeight="1" x14ac:dyDescent="0.25">
      <c r="A258" s="105">
        <f>+IF(B258="","",SUBTOTAL(3,B$8:B258))</f>
        <v>251</v>
      </c>
      <c r="B258" s="106" t="str">
        <f>'Detailed Report'!O254</f>
        <v>Fuddruckers - Concord Plaza Mall</v>
      </c>
      <c r="C258" s="107">
        <f>TRUNC('Detailed Report'!Q254,0)</f>
        <v>46032</v>
      </c>
      <c r="D258" s="108">
        <f>'Detailed Report'!P254</f>
        <v>3391742757</v>
      </c>
      <c r="E258" s="106" t="str">
        <f>'Detailed Report'!S254</f>
        <v>Successful</v>
      </c>
      <c r="F258" s="109">
        <f>IF(E258=$E$6,('Detailed Report'!Y254),IF(E258=$E$5,(0),0))</f>
        <v>709.98</v>
      </c>
      <c r="G258" s="106">
        <f>IF(E258=$E$6,('Detailed Report'!AQ254),IF(E258=$E$5,('Detailed Report'!AW254),0))</f>
        <v>622.78947000000005</v>
      </c>
      <c r="H258" s="106">
        <f>'Detailed Report'!AS254</f>
        <v>155.69737000000001</v>
      </c>
      <c r="I258" s="106">
        <f>'Detailed Report'!AT254</f>
        <v>21.797631800000001</v>
      </c>
      <c r="J258" s="106">
        <f>'Detailed Report'!AO254</f>
        <v>12.42465</v>
      </c>
      <c r="K258" s="106">
        <f>'Detailed Report'!AP254</f>
        <v>1.7394510000000001</v>
      </c>
      <c r="L258" s="106">
        <f>'Detailed Report'!AU254/1.14</f>
        <v>0</v>
      </c>
      <c r="M258" s="106">
        <f>'Detailed Report'!AU254-L258</f>
        <v>0</v>
      </c>
      <c r="N258" s="110">
        <f>'Detailed Report'!AW254</f>
        <v>518.32100000000003</v>
      </c>
      <c r="O258" s="111">
        <f t="shared" si="49"/>
        <v>104.46847000000002</v>
      </c>
      <c r="P258" s="110">
        <f>'Detailed Report'!AM254</f>
        <v>0</v>
      </c>
      <c r="Q258" s="110">
        <f>'Detailed Report'!AN254</f>
        <v>0</v>
      </c>
      <c r="R258" s="110">
        <f>'Detailed Report'!AU254/1.14</f>
        <v>0</v>
      </c>
      <c r="S258" s="110">
        <f>'Detailed Report'!AU254-'........... - Otlob'!R258</f>
        <v>0</v>
      </c>
    </row>
    <row r="259" spans="1:19" ht="14.45" customHeight="1" x14ac:dyDescent="0.25">
      <c r="A259" s="105">
        <f>+IF(B259="","",SUBTOTAL(3,B$8:B259))</f>
        <v>252</v>
      </c>
      <c r="B259" s="106" t="str">
        <f>'Detailed Report'!O255</f>
        <v>Fuddruckers - Concord Plaza Mall</v>
      </c>
      <c r="C259" s="107">
        <f>TRUNC('Detailed Report'!Q255,0)</f>
        <v>46032</v>
      </c>
      <c r="D259" s="108">
        <f>'Detailed Report'!P255</f>
        <v>3391816087</v>
      </c>
      <c r="E259" s="106" t="str">
        <f>'Detailed Report'!S255</f>
        <v>Successful</v>
      </c>
      <c r="F259" s="109">
        <f>IF(E259=$E$6,('Detailed Report'!Y255),IF(E259=$E$5,(0),0))</f>
        <v>639.99</v>
      </c>
      <c r="G259" s="106">
        <f>IF(E259=$E$6,('Detailed Report'!AQ255),IF(E259=$E$5,('Detailed Report'!AW255),0))</f>
        <v>561.39473999999996</v>
      </c>
      <c r="H259" s="106">
        <f>'Detailed Report'!AS255</f>
        <v>140.34869</v>
      </c>
      <c r="I259" s="106">
        <f>'Detailed Report'!AT255</f>
        <v>19.6488166</v>
      </c>
      <c r="J259" s="106">
        <f>'Detailed Report'!AO255</f>
        <v>11.199825000000001</v>
      </c>
      <c r="K259" s="106">
        <f>'Detailed Report'!AP255</f>
        <v>1.5679755</v>
      </c>
      <c r="L259" s="106">
        <f>'Detailed Report'!AU255/1.14</f>
        <v>0</v>
      </c>
      <c r="M259" s="106">
        <f>'Detailed Report'!AU255-L259</f>
        <v>0</v>
      </c>
      <c r="N259" s="110">
        <f>'Detailed Report'!AW255</f>
        <v>433.02499999999998</v>
      </c>
      <c r="O259" s="111">
        <f t="shared" si="49"/>
        <v>128.36973999999998</v>
      </c>
      <c r="P259" s="110">
        <f>'Detailed Report'!AM255</f>
        <v>30</v>
      </c>
      <c r="Q259" s="110">
        <f>'Detailed Report'!AN255</f>
        <v>4.2</v>
      </c>
      <c r="R259" s="110">
        <f>'Detailed Report'!AU255/1.14</f>
        <v>0</v>
      </c>
      <c r="S259" s="110">
        <f>'Detailed Report'!AU255-'........... - Otlob'!R259</f>
        <v>0</v>
      </c>
    </row>
    <row r="260" spans="1:19" ht="14.45" customHeight="1" x14ac:dyDescent="0.25">
      <c r="A260" s="105">
        <f>+IF(B260="","",SUBTOTAL(3,B$8:B260))</f>
        <v>253</v>
      </c>
      <c r="B260" s="106" t="str">
        <f>'Detailed Report'!O256</f>
        <v>Fuddruckers - New Maadi</v>
      </c>
      <c r="C260" s="107">
        <f>TRUNC('Detailed Report'!Q256,0)</f>
        <v>46032</v>
      </c>
      <c r="D260" s="108">
        <f>'Detailed Report'!P256</f>
        <v>3391849559</v>
      </c>
      <c r="E260" s="106" t="str">
        <f>'Detailed Report'!S256</f>
        <v>Successful</v>
      </c>
      <c r="F260" s="109">
        <f>IF(E260=$E$6,('Detailed Report'!Y256),IF(E260=$E$5,(0),0))</f>
        <v>351.98</v>
      </c>
      <c r="G260" s="106">
        <f>IF(E260=$E$6,('Detailed Report'!AQ256),IF(E260=$E$5,('Detailed Report'!AW256),0))</f>
        <v>308.75439</v>
      </c>
      <c r="H260" s="106">
        <f>'Detailed Report'!AS256</f>
        <v>77.188599999999994</v>
      </c>
      <c r="I260" s="106">
        <f>'Detailed Report'!AT256</f>
        <v>10.806404000000001</v>
      </c>
      <c r="J260" s="106">
        <f>'Detailed Report'!AO256</f>
        <v>6.1596500000000001</v>
      </c>
      <c r="K260" s="106">
        <f>'Detailed Report'!AP256</f>
        <v>0.86235099999999998</v>
      </c>
      <c r="L260" s="106">
        <f>'Detailed Report'!AU256/1.14</f>
        <v>0</v>
      </c>
      <c r="M260" s="106">
        <f>'Detailed Report'!AU256-L260</f>
        <v>0</v>
      </c>
      <c r="N260" s="110">
        <f>'Detailed Report'!AW256</f>
        <v>256.96300000000002</v>
      </c>
      <c r="O260" s="111">
        <f t="shared" si="49"/>
        <v>51.791389999999978</v>
      </c>
      <c r="P260" s="110">
        <f>'Detailed Report'!AM256</f>
        <v>0</v>
      </c>
      <c r="Q260" s="110">
        <f>'Detailed Report'!AN256</f>
        <v>0</v>
      </c>
      <c r="R260" s="110">
        <f>'Detailed Report'!AU256/1.14</f>
        <v>0</v>
      </c>
      <c r="S260" s="110">
        <f>'Detailed Report'!AU256-'........... - Otlob'!R260</f>
        <v>0</v>
      </c>
    </row>
    <row r="261" spans="1:19" ht="14.45" customHeight="1" x14ac:dyDescent="0.25">
      <c r="A261" s="105">
        <f>+IF(B261="","",SUBTOTAL(3,B$8:B261))</f>
        <v>254</v>
      </c>
      <c r="B261" s="106" t="str">
        <f>'Detailed Report'!O257</f>
        <v>Fuddruckers - Concord Plaza Mall</v>
      </c>
      <c r="C261" s="107">
        <f>TRUNC('Detailed Report'!Q257,0)</f>
        <v>46032</v>
      </c>
      <c r="D261" s="108">
        <f>'Detailed Report'!P257</f>
        <v>3391871632</v>
      </c>
      <c r="E261" s="106" t="str">
        <f>'Detailed Report'!S257</f>
        <v>Successful</v>
      </c>
      <c r="F261" s="109">
        <f>IF(E261=$E$6,('Detailed Report'!Y257),IF(E261=$E$5,(0),0))</f>
        <v>319.99</v>
      </c>
      <c r="G261" s="106">
        <f>IF(E261=$E$6,('Detailed Report'!AQ257),IF(E261=$E$5,('Detailed Report'!AW257),0))</f>
        <v>280.69297999999998</v>
      </c>
      <c r="H261" s="106">
        <f>'Detailed Report'!AS257</f>
        <v>70.173249999999996</v>
      </c>
      <c r="I261" s="106">
        <f>'Detailed Report'!AT257</f>
        <v>9.8242550000000008</v>
      </c>
      <c r="J261" s="106">
        <f>'Detailed Report'!AO257</f>
        <v>5.5998250000000001</v>
      </c>
      <c r="K261" s="106">
        <f>'Detailed Report'!AP257</f>
        <v>0.78397550000000005</v>
      </c>
      <c r="L261" s="106">
        <f>'Detailed Report'!AU257/1.14</f>
        <v>0</v>
      </c>
      <c r="M261" s="106">
        <f>'Detailed Report'!AU257-L261</f>
        <v>0</v>
      </c>
      <c r="N261" s="110">
        <f>'Detailed Report'!AW257</f>
        <v>233.60900000000001</v>
      </c>
      <c r="O261" s="111">
        <f t="shared" si="49"/>
        <v>47.083979999999968</v>
      </c>
      <c r="P261" s="110">
        <f>'Detailed Report'!AM257</f>
        <v>0</v>
      </c>
      <c r="Q261" s="110">
        <f>'Detailed Report'!AN257</f>
        <v>0</v>
      </c>
      <c r="R261" s="110">
        <f>'Detailed Report'!AU257/1.14</f>
        <v>0</v>
      </c>
      <c r="S261" s="110">
        <f>'Detailed Report'!AU257-'........... - Otlob'!R261</f>
        <v>0</v>
      </c>
    </row>
    <row r="262" spans="1:19" ht="14.45" customHeight="1" x14ac:dyDescent="0.25">
      <c r="A262" s="105">
        <f>+IF(B262="","",SUBTOTAL(3,B$8:B262))</f>
        <v>255</v>
      </c>
      <c r="B262" s="106" t="str">
        <f>'Detailed Report'!O258</f>
        <v>Fuddruckers - New Maadi</v>
      </c>
      <c r="C262" s="107">
        <f>TRUNC('Detailed Report'!Q258,0)</f>
        <v>46032</v>
      </c>
      <c r="D262" s="108">
        <f>'Detailed Report'!P258</f>
        <v>3391992003</v>
      </c>
      <c r="E262" s="106" t="str">
        <f>'Detailed Report'!S258</f>
        <v>Successful</v>
      </c>
      <c r="F262" s="109">
        <f>IF(E262=$E$6,('Detailed Report'!Y258),IF(E262=$E$5,(0),0))</f>
        <v>747.97</v>
      </c>
      <c r="G262" s="106">
        <f>IF(E262=$E$6,('Detailed Report'!AQ258),IF(E262=$E$5,('Detailed Report'!AW258),0))</f>
        <v>656.11404000000005</v>
      </c>
      <c r="H262" s="106">
        <f>'Detailed Report'!AS258</f>
        <v>164.02851000000001</v>
      </c>
      <c r="I262" s="106">
        <f>'Detailed Report'!AT258</f>
        <v>22.963991400000001</v>
      </c>
      <c r="J262" s="106">
        <f>'Detailed Report'!AO258</f>
        <v>13.089475</v>
      </c>
      <c r="K262" s="106">
        <f>'Detailed Report'!AP258</f>
        <v>1.8325264999999999</v>
      </c>
      <c r="L262" s="106">
        <f>'Detailed Report'!AU258/1.14</f>
        <v>0</v>
      </c>
      <c r="M262" s="106">
        <f>'Detailed Report'!AU258-L262</f>
        <v>0</v>
      </c>
      <c r="N262" s="110">
        <f>'Detailed Report'!AW258</f>
        <v>546.05499999999995</v>
      </c>
      <c r="O262" s="111">
        <f t="shared" si="49"/>
        <v>110.0590400000001</v>
      </c>
      <c r="P262" s="110">
        <f>'Detailed Report'!AM258</f>
        <v>0</v>
      </c>
      <c r="Q262" s="110">
        <f>'Detailed Report'!AN258</f>
        <v>0</v>
      </c>
      <c r="R262" s="110">
        <f>'Detailed Report'!AU258/1.14</f>
        <v>0</v>
      </c>
      <c r="S262" s="110">
        <f>'Detailed Report'!AU258-'........... - Otlob'!R262</f>
        <v>0</v>
      </c>
    </row>
    <row r="263" spans="1:19" ht="14.45" customHeight="1" x14ac:dyDescent="0.25">
      <c r="A263" s="105">
        <f>+IF(B263="","",SUBTOTAL(3,B$8:B263))</f>
        <v>256</v>
      </c>
      <c r="B263" s="106" t="str">
        <f>'Detailed Report'!O259</f>
        <v>Fuddruckers - Concord Plaza Mall</v>
      </c>
      <c r="C263" s="107">
        <f>TRUNC('Detailed Report'!Q259,0)</f>
        <v>46032</v>
      </c>
      <c r="D263" s="108">
        <f>'Detailed Report'!P259</f>
        <v>3392146606</v>
      </c>
      <c r="E263" s="106" t="str">
        <f>'Detailed Report'!S259</f>
        <v>Successful</v>
      </c>
      <c r="F263" s="109">
        <f>IF(E263=$E$6,('Detailed Report'!Y259),IF(E263=$E$5,(0),0))</f>
        <v>1618.62</v>
      </c>
      <c r="G263" s="106">
        <f>IF(E263=$E$6,('Detailed Report'!AQ259),IF(E263=$E$5,('Detailed Report'!AW259),0))</f>
        <v>1419.84211</v>
      </c>
      <c r="H263" s="106">
        <f>'Detailed Report'!AS259</f>
        <v>354.96053000000001</v>
      </c>
      <c r="I263" s="106">
        <f>'Detailed Report'!AT259</f>
        <v>49.694474200000002</v>
      </c>
      <c r="J263" s="106">
        <f>'Detailed Report'!AO259</f>
        <v>28.325849999999999</v>
      </c>
      <c r="K263" s="106">
        <f>'Detailed Report'!AP259</f>
        <v>3.9656189999999998</v>
      </c>
      <c r="L263" s="106">
        <f>'Detailed Report'!AU259/1.14</f>
        <v>0</v>
      </c>
      <c r="M263" s="106">
        <f>'Detailed Report'!AU259-L263</f>
        <v>0</v>
      </c>
      <c r="N263" s="110">
        <f>'Detailed Report'!AW259</f>
        <v>1181.674</v>
      </c>
      <c r="O263" s="111">
        <f t="shared" si="49"/>
        <v>238.16811000000007</v>
      </c>
      <c r="P263" s="110">
        <f>'Detailed Report'!AM259</f>
        <v>0</v>
      </c>
      <c r="Q263" s="110">
        <f>'Detailed Report'!AN259</f>
        <v>0</v>
      </c>
      <c r="R263" s="110">
        <f>'Detailed Report'!AU259/1.14</f>
        <v>0</v>
      </c>
      <c r="S263" s="110">
        <f>'Detailed Report'!AU259-'........... - Otlob'!R263</f>
        <v>0</v>
      </c>
    </row>
    <row r="264" spans="1:19" ht="14.45" customHeight="1" x14ac:dyDescent="0.25">
      <c r="A264" s="105">
        <f>+IF(B264="","",SUBTOTAL(3,B$8:B264))</f>
        <v>257</v>
      </c>
      <c r="B264" s="106" t="str">
        <f>'Detailed Report'!O260</f>
        <v>Fuddruckers - City Stars</v>
      </c>
      <c r="C264" s="107">
        <f>TRUNC('Detailed Report'!Q260,0)</f>
        <v>46032</v>
      </c>
      <c r="D264" s="108">
        <f>'Detailed Report'!P260</f>
        <v>3392146754</v>
      </c>
      <c r="E264" s="106" t="str">
        <f>'Detailed Report'!S260</f>
        <v>Successful</v>
      </c>
      <c r="F264" s="109">
        <f>IF(E264=$E$6,('Detailed Report'!Y260),IF(E264=$E$5,(0),0))</f>
        <v>2764.44</v>
      </c>
      <c r="G264" s="106">
        <f>IF(E264=$E$6,('Detailed Report'!AQ260),IF(E264=$E$5,('Detailed Report'!AW260),0))</f>
        <v>2424.9473699999999</v>
      </c>
      <c r="H264" s="106">
        <f>'Detailed Report'!AS260</f>
        <v>606.23684000000003</v>
      </c>
      <c r="I264" s="106">
        <f>'Detailed Report'!AT260</f>
        <v>84.873157599999999</v>
      </c>
      <c r="J264" s="106">
        <f>'Detailed Report'!AO260</f>
        <v>48.377698250000002</v>
      </c>
      <c r="K264" s="106">
        <f>'Detailed Report'!AP260</f>
        <v>6.7728777549999997</v>
      </c>
      <c r="L264" s="106">
        <f>'Detailed Report'!AU260/1.14</f>
        <v>25.42982456140351</v>
      </c>
      <c r="M264" s="106">
        <f>'Detailed Report'!AU260-L264</f>
        <v>3.5601754385964881</v>
      </c>
      <c r="N264" s="110">
        <f>'Detailed Report'!AW260</f>
        <v>1954.989</v>
      </c>
      <c r="O264" s="111">
        <f t="shared" si="49"/>
        <v>469.95836999999983</v>
      </c>
      <c r="P264" s="110">
        <f>'Detailed Report'!AM260</f>
        <v>30</v>
      </c>
      <c r="Q264" s="110">
        <f>'Detailed Report'!AN260</f>
        <v>4.2</v>
      </c>
      <c r="R264" s="110">
        <f>'Detailed Report'!AU260/1.14</f>
        <v>25.42982456140351</v>
      </c>
      <c r="S264" s="110">
        <f>'Detailed Report'!AU260-'........... - Otlob'!R264</f>
        <v>3.5601754385964881</v>
      </c>
    </row>
    <row r="265" spans="1:19" ht="14.45" customHeight="1" x14ac:dyDescent="0.25">
      <c r="A265" s="105">
        <f>+IF(B265="","",SUBTOTAL(3,B$8:B265))</f>
        <v>258</v>
      </c>
      <c r="B265" s="106" t="str">
        <f>'Detailed Report'!O261</f>
        <v>Fuddruckers - Concord Plaza Mall</v>
      </c>
      <c r="C265" s="107">
        <f>TRUNC('Detailed Report'!Q261,0)</f>
        <v>46032</v>
      </c>
      <c r="D265" s="108">
        <f>'Detailed Report'!P261</f>
        <v>3392184853</v>
      </c>
      <c r="E265" s="106" t="str">
        <f>'Detailed Report'!S261</f>
        <v>Successful</v>
      </c>
      <c r="F265" s="109">
        <f>IF(E265=$E$6,('Detailed Report'!Y261),IF(E265=$E$5,(0),0))</f>
        <v>329.99</v>
      </c>
      <c r="G265" s="106">
        <f>IF(E265=$E$6,('Detailed Report'!AQ261),IF(E265=$E$5,('Detailed Report'!AW261),0))</f>
        <v>289.46490999999997</v>
      </c>
      <c r="H265" s="106">
        <f>'Detailed Report'!AS261</f>
        <v>72.366230000000002</v>
      </c>
      <c r="I265" s="106">
        <f>'Detailed Report'!AT261</f>
        <v>10.1312722</v>
      </c>
      <c r="J265" s="106">
        <f>'Detailed Report'!AO261</f>
        <v>0</v>
      </c>
      <c r="K265" s="106">
        <f>'Detailed Report'!AP261</f>
        <v>0</v>
      </c>
      <c r="L265" s="106">
        <f>'Detailed Report'!AU261/1.14</f>
        <v>0</v>
      </c>
      <c r="M265" s="106">
        <f>'Detailed Report'!AU261-L265</f>
        <v>0</v>
      </c>
      <c r="N265" s="110">
        <f>'Detailed Report'!AW261</f>
        <v>247.49199999999999</v>
      </c>
      <c r="O265" s="111">
        <f t="shared" ref="O265:O328" si="50">G265-N265</f>
        <v>41.972909999999985</v>
      </c>
      <c r="P265" s="110">
        <f>'Detailed Report'!AM261</f>
        <v>0</v>
      </c>
      <c r="Q265" s="110">
        <f>'Detailed Report'!AN261</f>
        <v>0</v>
      </c>
      <c r="R265" s="110">
        <f>'Detailed Report'!AU261/1.14</f>
        <v>0</v>
      </c>
      <c r="S265" s="110">
        <f>'Detailed Report'!AU261-'........... - Otlob'!R265</f>
        <v>0</v>
      </c>
    </row>
    <row r="266" spans="1:19" ht="14.45" customHeight="1" x14ac:dyDescent="0.25">
      <c r="A266" s="105">
        <f>+IF(B266="","",SUBTOTAL(3,B$8:B266))</f>
        <v>259</v>
      </c>
      <c r="B266" s="106" t="str">
        <f>'Detailed Report'!O262</f>
        <v>Fuddruckers - Concord Plaza Mall</v>
      </c>
      <c r="C266" s="107">
        <f>TRUNC('Detailed Report'!Q262,0)</f>
        <v>46032</v>
      </c>
      <c r="D266" s="108">
        <f>'Detailed Report'!P262</f>
        <v>3392202393</v>
      </c>
      <c r="E266" s="106" t="str">
        <f>'Detailed Report'!S262</f>
        <v>Successful</v>
      </c>
      <c r="F266" s="109">
        <f>IF(E266=$E$6,('Detailed Report'!Y262),IF(E266=$E$5,(0),0))</f>
        <v>614.54999999999995</v>
      </c>
      <c r="G266" s="106">
        <f>IF(E266=$E$6,('Detailed Report'!AQ262),IF(E266=$E$5,('Detailed Report'!AW262),0))</f>
        <v>539.07894999999996</v>
      </c>
      <c r="H266" s="106">
        <f>'Detailed Report'!AS262</f>
        <v>134.76974000000001</v>
      </c>
      <c r="I266" s="106">
        <f>'Detailed Report'!AT262</f>
        <v>18.8677636</v>
      </c>
      <c r="J266" s="106">
        <f>'Detailed Report'!AO262</f>
        <v>0</v>
      </c>
      <c r="K266" s="106">
        <f>'Detailed Report'!AP262</f>
        <v>0</v>
      </c>
      <c r="L266" s="106">
        <f>'Detailed Report'!AU262/1.14</f>
        <v>0</v>
      </c>
      <c r="M266" s="106">
        <f>'Detailed Report'!AU262-L266</f>
        <v>0</v>
      </c>
      <c r="N266" s="110">
        <f>'Detailed Report'!AW262</f>
        <v>460.91199999999998</v>
      </c>
      <c r="O266" s="111">
        <f t="shared" si="50"/>
        <v>78.166949999999986</v>
      </c>
      <c r="P266" s="110">
        <f>'Detailed Report'!AM262</f>
        <v>0</v>
      </c>
      <c r="Q266" s="110">
        <f>'Detailed Report'!AN262</f>
        <v>0</v>
      </c>
      <c r="R266" s="110">
        <f>'Detailed Report'!AU262/1.14</f>
        <v>0</v>
      </c>
      <c r="S266" s="110">
        <f>'Detailed Report'!AU262-'........... - Otlob'!R266</f>
        <v>0</v>
      </c>
    </row>
    <row r="267" spans="1:19" ht="14.45" customHeight="1" x14ac:dyDescent="0.25">
      <c r="A267" s="105">
        <f>+IF(B267="","",SUBTOTAL(3,B$8:B267))</f>
        <v>260</v>
      </c>
      <c r="B267" s="106" t="str">
        <f>'Detailed Report'!O263</f>
        <v>Fuddruckers - New Maadi</v>
      </c>
      <c r="C267" s="107">
        <f>TRUNC('Detailed Report'!Q263,0)</f>
        <v>46032</v>
      </c>
      <c r="D267" s="108">
        <f>'Detailed Report'!P263</f>
        <v>3392232791</v>
      </c>
      <c r="E267" s="106" t="str">
        <f>'Detailed Report'!S263</f>
        <v>Successful</v>
      </c>
      <c r="F267" s="109">
        <f>IF(E267=$E$6,('Detailed Report'!Y263),IF(E267=$E$5,(0),0))</f>
        <v>328.98</v>
      </c>
      <c r="G267" s="106">
        <f>IF(E267=$E$6,('Detailed Report'!AQ263),IF(E267=$E$5,('Detailed Report'!AW263),0))</f>
        <v>288.57895000000002</v>
      </c>
      <c r="H267" s="106">
        <f>'Detailed Report'!AS263</f>
        <v>72.144739999999999</v>
      </c>
      <c r="I267" s="106">
        <f>'Detailed Report'!AT263</f>
        <v>10.1002636</v>
      </c>
      <c r="J267" s="106">
        <f>'Detailed Report'!AO263</f>
        <v>5.7571500000000002</v>
      </c>
      <c r="K267" s="106">
        <f>'Detailed Report'!AP263</f>
        <v>0.80600099999999997</v>
      </c>
      <c r="L267" s="106">
        <f>'Detailed Report'!AU263/1.14</f>
        <v>23.67543859649123</v>
      </c>
      <c r="M267" s="106">
        <f>'Detailed Report'!AU263-L267</f>
        <v>3.3145614035087689</v>
      </c>
      <c r="N267" s="110">
        <f>'Detailed Report'!AW263</f>
        <v>213.18199999999999</v>
      </c>
      <c r="O267" s="111">
        <f t="shared" si="50"/>
        <v>75.396950000000032</v>
      </c>
      <c r="P267" s="110">
        <f>'Detailed Report'!AM263</f>
        <v>0</v>
      </c>
      <c r="Q267" s="110">
        <f>'Detailed Report'!AN263</f>
        <v>0</v>
      </c>
      <c r="R267" s="110">
        <f>'Detailed Report'!AU263/1.14</f>
        <v>23.67543859649123</v>
      </c>
      <c r="S267" s="110">
        <f>'Detailed Report'!AU263-'........... - Otlob'!R267</f>
        <v>3.3145614035087689</v>
      </c>
    </row>
    <row r="268" spans="1:19" ht="14.45" customHeight="1" x14ac:dyDescent="0.25">
      <c r="A268" s="105">
        <f>+IF(B268="","",SUBTOTAL(3,B$8:B268))</f>
        <v>261</v>
      </c>
      <c r="B268" s="106" t="str">
        <f>'Detailed Report'!O264</f>
        <v>Fuddruckers - Concord Plaza Mall</v>
      </c>
      <c r="C268" s="107">
        <f>TRUNC('Detailed Report'!Q264,0)</f>
        <v>46032</v>
      </c>
      <c r="D268" s="108">
        <f>'Detailed Report'!P264</f>
        <v>3392250481</v>
      </c>
      <c r="E268" s="106" t="str">
        <f>'Detailed Report'!S264</f>
        <v>Successful</v>
      </c>
      <c r="F268" s="109">
        <f>IF(E268=$E$6,('Detailed Report'!Y264),IF(E268=$E$5,(0),0))</f>
        <v>1007.89</v>
      </c>
      <c r="G268" s="106">
        <f>IF(E268=$E$6,('Detailed Report'!AQ264),IF(E268=$E$5,('Detailed Report'!AW264),0))</f>
        <v>884.11404000000005</v>
      </c>
      <c r="H268" s="106">
        <f>'Detailed Report'!AS264</f>
        <v>221.02851000000001</v>
      </c>
      <c r="I268" s="106">
        <f>'Detailed Report'!AT264</f>
        <v>30.943991400000002</v>
      </c>
      <c r="J268" s="106">
        <f>'Detailed Report'!AO264</f>
        <v>17.638075000000001</v>
      </c>
      <c r="K268" s="106">
        <f>'Detailed Report'!AP264</f>
        <v>2.4693304999999999</v>
      </c>
      <c r="L268" s="106">
        <f>'Detailed Report'!AU264/1.14</f>
        <v>28.938596491228076</v>
      </c>
      <c r="M268" s="106">
        <f>'Detailed Report'!AU264-L268</f>
        <v>4.0514035087719265</v>
      </c>
      <c r="N268" s="110">
        <f>'Detailed Report'!AW264</f>
        <v>702.82</v>
      </c>
      <c r="O268" s="111">
        <f t="shared" si="50"/>
        <v>181.29404</v>
      </c>
      <c r="P268" s="110">
        <f>'Detailed Report'!AM264</f>
        <v>0</v>
      </c>
      <c r="Q268" s="110">
        <f>'Detailed Report'!AN264</f>
        <v>0</v>
      </c>
      <c r="R268" s="110">
        <f>'Detailed Report'!AU264/1.14</f>
        <v>28.938596491228076</v>
      </c>
      <c r="S268" s="110">
        <f>'Detailed Report'!AU264-'........... - Otlob'!R268</f>
        <v>4.0514035087719265</v>
      </c>
    </row>
    <row r="269" spans="1:19" ht="14.45" customHeight="1" x14ac:dyDescent="0.25">
      <c r="A269" s="105">
        <f>+IF(B269="","",SUBTOTAL(3,B$8:B269))</f>
        <v>262</v>
      </c>
      <c r="B269" s="106" t="str">
        <f>'Detailed Report'!O265</f>
        <v>Fuddruckers - Concord Plaza Mall</v>
      </c>
      <c r="C269" s="107">
        <f>TRUNC('Detailed Report'!Q265,0)</f>
        <v>46032</v>
      </c>
      <c r="D269" s="108">
        <f>'Detailed Report'!P265</f>
        <v>3392257943</v>
      </c>
      <c r="E269" s="106" t="str">
        <f>'Detailed Report'!S265</f>
        <v>Successful</v>
      </c>
      <c r="F269" s="109">
        <f>IF(E269=$E$6,('Detailed Report'!Y265),IF(E269=$E$5,(0),0))</f>
        <v>728.99</v>
      </c>
      <c r="G269" s="106">
        <f>IF(E269=$E$6,('Detailed Report'!AQ265),IF(E269=$E$5,('Detailed Report'!AW265),0))</f>
        <v>639.46491000000003</v>
      </c>
      <c r="H269" s="106">
        <f>'Detailed Report'!AS265</f>
        <v>159.86623</v>
      </c>
      <c r="I269" s="106">
        <f>'Detailed Report'!AT265</f>
        <v>22.381272200000002</v>
      </c>
      <c r="J269" s="106">
        <f>'Detailed Report'!AO265</f>
        <v>12.757325</v>
      </c>
      <c r="K269" s="106">
        <f>'Detailed Report'!AP265</f>
        <v>1.7860255</v>
      </c>
      <c r="L269" s="106">
        <f>'Detailed Report'!AU265/1.14</f>
        <v>0</v>
      </c>
      <c r="M269" s="106">
        <f>'Detailed Report'!AU265-L269</f>
        <v>0</v>
      </c>
      <c r="N269" s="110">
        <f>'Detailed Report'!AW265</f>
        <v>532.19899999999996</v>
      </c>
      <c r="O269" s="111">
        <f t="shared" si="50"/>
        <v>107.26591000000008</v>
      </c>
      <c r="P269" s="110">
        <f>'Detailed Report'!AM265</f>
        <v>0</v>
      </c>
      <c r="Q269" s="110">
        <f>'Detailed Report'!AN265</f>
        <v>0</v>
      </c>
      <c r="R269" s="110">
        <f>'Detailed Report'!AU265/1.14</f>
        <v>0</v>
      </c>
      <c r="S269" s="110">
        <f>'Detailed Report'!AU265-'........... - Otlob'!R269</f>
        <v>0</v>
      </c>
    </row>
    <row r="270" spans="1:19" ht="14.45" customHeight="1" x14ac:dyDescent="0.25">
      <c r="A270" s="105">
        <f>+IF(B270="","",SUBTOTAL(3,B$8:B270))</f>
        <v>263</v>
      </c>
      <c r="B270" s="106" t="str">
        <f>'Detailed Report'!O266</f>
        <v>Fuddruckers - New Maadi</v>
      </c>
      <c r="C270" s="107">
        <f>TRUNC('Detailed Report'!Q266,0)</f>
        <v>46032</v>
      </c>
      <c r="D270" s="108">
        <f>'Detailed Report'!P266</f>
        <v>3392273362</v>
      </c>
      <c r="E270" s="106" t="str">
        <f>'Detailed Report'!S266</f>
        <v>Successful</v>
      </c>
      <c r="F270" s="109">
        <f>IF(E270=$E$6,('Detailed Report'!Y266),IF(E270=$E$5,(0),0))</f>
        <v>554.99</v>
      </c>
      <c r="G270" s="106">
        <f>IF(E270=$E$6,('Detailed Report'!AQ266),IF(E270=$E$5,('Detailed Report'!AW266),0))</f>
        <v>486.83332999999999</v>
      </c>
      <c r="H270" s="106">
        <f>'Detailed Report'!AS266</f>
        <v>121.70833</v>
      </c>
      <c r="I270" s="106">
        <f>'Detailed Report'!AT266</f>
        <v>17.0391662</v>
      </c>
      <c r="J270" s="106">
        <f>'Detailed Report'!AO266</f>
        <v>9.7123249999999999</v>
      </c>
      <c r="K270" s="106">
        <f>'Detailed Report'!AP266</f>
        <v>1.3597254999999999</v>
      </c>
      <c r="L270" s="106">
        <f>'Detailed Report'!AU266/1.14</f>
        <v>26.307017543859651</v>
      </c>
      <c r="M270" s="106">
        <f>'Detailed Report'!AU266-L270</f>
        <v>3.6829824561403477</v>
      </c>
      <c r="N270" s="110">
        <f>'Detailed Report'!AW266</f>
        <v>375.18</v>
      </c>
      <c r="O270" s="111">
        <f t="shared" si="50"/>
        <v>111.65332999999998</v>
      </c>
      <c r="P270" s="110">
        <f>'Detailed Report'!AM266</f>
        <v>0</v>
      </c>
      <c r="Q270" s="110">
        <f>'Detailed Report'!AN266</f>
        <v>0</v>
      </c>
      <c r="R270" s="110">
        <f>'Detailed Report'!AU266/1.14</f>
        <v>26.307017543859651</v>
      </c>
      <c r="S270" s="110">
        <f>'Detailed Report'!AU266-'........... - Otlob'!R270</f>
        <v>3.6829824561403477</v>
      </c>
    </row>
    <row r="271" spans="1:19" ht="14.45" customHeight="1" x14ac:dyDescent="0.25">
      <c r="A271" s="105">
        <f>+IF(B271="","",SUBTOTAL(3,B$8:B271))</f>
        <v>264</v>
      </c>
      <c r="B271" s="106" t="str">
        <f>'Detailed Report'!O267</f>
        <v>Fuddruckers - Concord Plaza Mall</v>
      </c>
      <c r="C271" s="107">
        <f>TRUNC('Detailed Report'!Q267,0)</f>
        <v>46032</v>
      </c>
      <c r="D271" s="108">
        <f>'Detailed Report'!P267</f>
        <v>3392276694</v>
      </c>
      <c r="E271" s="106" t="str">
        <f>'Detailed Report'!S267</f>
        <v>Successful</v>
      </c>
      <c r="F271" s="109">
        <f>IF(E271=$E$6,('Detailed Report'!Y267),IF(E271=$E$5,(0),0))</f>
        <v>475.98</v>
      </c>
      <c r="G271" s="106">
        <f>IF(E271=$E$6,('Detailed Report'!AQ267),IF(E271=$E$5,('Detailed Report'!AW267),0))</f>
        <v>417.52632</v>
      </c>
      <c r="H271" s="106">
        <f>'Detailed Report'!AS267</f>
        <v>104.38158</v>
      </c>
      <c r="I271" s="106">
        <f>'Detailed Report'!AT267</f>
        <v>14.613421199999999</v>
      </c>
      <c r="J271" s="106">
        <f>'Detailed Report'!AO267</f>
        <v>0</v>
      </c>
      <c r="K271" s="106">
        <f>'Detailed Report'!AP267</f>
        <v>0</v>
      </c>
      <c r="L271" s="106">
        <f>'Detailed Report'!AU267/1.14</f>
        <v>28.061403508771932</v>
      </c>
      <c r="M271" s="106">
        <f>'Detailed Report'!AU267-L271</f>
        <v>3.9285964912280669</v>
      </c>
      <c r="N271" s="110">
        <f>'Detailed Report'!AW267</f>
        <v>324.995</v>
      </c>
      <c r="O271" s="111">
        <f t="shared" si="50"/>
        <v>92.531319999999994</v>
      </c>
      <c r="P271" s="110">
        <f>'Detailed Report'!AM267</f>
        <v>0</v>
      </c>
      <c r="Q271" s="110">
        <f>'Detailed Report'!AN267</f>
        <v>0</v>
      </c>
      <c r="R271" s="110">
        <f>'Detailed Report'!AU267/1.14</f>
        <v>28.061403508771932</v>
      </c>
      <c r="S271" s="110">
        <f>'Detailed Report'!AU267-'........... - Otlob'!R271</f>
        <v>3.9285964912280669</v>
      </c>
    </row>
    <row r="272" spans="1:19" ht="14.45" customHeight="1" x14ac:dyDescent="0.25">
      <c r="A272" s="105">
        <f>+IF(B272="","",SUBTOTAL(3,B$8:B272))</f>
        <v>265</v>
      </c>
      <c r="B272" s="106" t="str">
        <f>'Detailed Report'!O268</f>
        <v>Fuddruckers - New Maadi</v>
      </c>
      <c r="C272" s="107">
        <f>TRUNC('Detailed Report'!Q268,0)</f>
        <v>46032</v>
      </c>
      <c r="D272" s="108">
        <f>'Detailed Report'!P268</f>
        <v>3392385152</v>
      </c>
      <c r="E272" s="106" t="str">
        <f>'Detailed Report'!S268</f>
        <v>Successful</v>
      </c>
      <c r="F272" s="109">
        <f>IF(E272=$E$6,('Detailed Report'!Y268),IF(E272=$E$5,(0),0))</f>
        <v>1307.6400000000001</v>
      </c>
      <c r="G272" s="106">
        <f>IF(E272=$E$6,('Detailed Report'!AQ268),IF(E272=$E$5,('Detailed Report'!AW268),0))</f>
        <v>1147.0526299999999</v>
      </c>
      <c r="H272" s="106">
        <f>'Detailed Report'!AS268</f>
        <v>286.76316000000003</v>
      </c>
      <c r="I272" s="106">
        <f>'Detailed Report'!AT268</f>
        <v>40.146842399999997</v>
      </c>
      <c r="J272" s="106">
        <f>'Detailed Report'!AO268</f>
        <v>22.883700000000001</v>
      </c>
      <c r="K272" s="106">
        <f>'Detailed Report'!AP268</f>
        <v>3.2037179999999998</v>
      </c>
      <c r="L272" s="106">
        <f>'Detailed Report'!AU268/1.14</f>
        <v>0</v>
      </c>
      <c r="M272" s="106">
        <f>'Detailed Report'!AU268-L272</f>
        <v>0</v>
      </c>
      <c r="N272" s="110">
        <f>'Detailed Report'!AW268</f>
        <v>954.64300000000003</v>
      </c>
      <c r="O272" s="111">
        <f t="shared" si="50"/>
        <v>192.40962999999988</v>
      </c>
      <c r="P272" s="110">
        <f>'Detailed Report'!AM268</f>
        <v>0</v>
      </c>
      <c r="Q272" s="110">
        <f>'Detailed Report'!AN268</f>
        <v>0</v>
      </c>
      <c r="R272" s="110">
        <f>'Detailed Report'!AU268/1.14</f>
        <v>0</v>
      </c>
      <c r="S272" s="110">
        <f>'Detailed Report'!AU268-'........... - Otlob'!R272</f>
        <v>0</v>
      </c>
    </row>
    <row r="273" spans="1:19" ht="14.45" customHeight="1" x14ac:dyDescent="0.25">
      <c r="A273" s="105">
        <f>+IF(B273="","",SUBTOTAL(3,B$8:B273))</f>
        <v>266</v>
      </c>
      <c r="B273" s="106" t="str">
        <f>'Detailed Report'!O269</f>
        <v>Fuddruckers - Concord Plaza Mall</v>
      </c>
      <c r="C273" s="107">
        <f>TRUNC('Detailed Report'!Q269,0)</f>
        <v>46032</v>
      </c>
      <c r="D273" s="108">
        <f>'Detailed Report'!P269</f>
        <v>3392405447</v>
      </c>
      <c r="E273" s="106" t="str">
        <f>'Detailed Report'!S269</f>
        <v>Successful</v>
      </c>
      <c r="F273" s="109">
        <f>IF(E273=$E$6,('Detailed Report'!Y269),IF(E273=$E$5,(0),0))</f>
        <v>717.98</v>
      </c>
      <c r="G273" s="106">
        <f>IF(E273=$E$6,('Detailed Report'!AQ269),IF(E273=$E$5,('Detailed Report'!AW269),0))</f>
        <v>629.80701999999997</v>
      </c>
      <c r="H273" s="106">
        <f>'Detailed Report'!AS269</f>
        <v>157.45176000000001</v>
      </c>
      <c r="I273" s="106">
        <f>'Detailed Report'!AT269</f>
        <v>22.043246400000001</v>
      </c>
      <c r="J273" s="106">
        <f>'Detailed Report'!AO269</f>
        <v>0</v>
      </c>
      <c r="K273" s="106">
        <f>'Detailed Report'!AP269</f>
        <v>0</v>
      </c>
      <c r="L273" s="106">
        <f>'Detailed Report'!AU269/1.14</f>
        <v>29.815789473684216</v>
      </c>
      <c r="M273" s="106">
        <f>'Detailed Report'!AU269-L273</f>
        <v>4.174210526315786</v>
      </c>
      <c r="N273" s="110">
        <f>'Detailed Report'!AW269</f>
        <v>504.495</v>
      </c>
      <c r="O273" s="111">
        <f t="shared" si="50"/>
        <v>125.31201999999996</v>
      </c>
      <c r="P273" s="110">
        <f>'Detailed Report'!AM269</f>
        <v>0</v>
      </c>
      <c r="Q273" s="110">
        <f>'Detailed Report'!AN269</f>
        <v>0</v>
      </c>
      <c r="R273" s="110">
        <f>'Detailed Report'!AU269/1.14</f>
        <v>29.815789473684216</v>
      </c>
      <c r="S273" s="110">
        <f>'Detailed Report'!AU269-'........... - Otlob'!R273</f>
        <v>4.174210526315786</v>
      </c>
    </row>
    <row r="274" spans="1:19" ht="14.45" customHeight="1" x14ac:dyDescent="0.25">
      <c r="A274" s="105">
        <f>+IF(B274="","",SUBTOTAL(3,B$8:B274))</f>
        <v>267</v>
      </c>
      <c r="B274" s="106" t="str">
        <f>'Detailed Report'!O270</f>
        <v>Fuddruckers - City Stars</v>
      </c>
      <c r="C274" s="107">
        <f>TRUNC('Detailed Report'!Q270,0)</f>
        <v>46032</v>
      </c>
      <c r="D274" s="108">
        <f>'Detailed Report'!P270</f>
        <v>3392411452</v>
      </c>
      <c r="E274" s="106" t="str">
        <f>'Detailed Report'!S270</f>
        <v>Successful</v>
      </c>
      <c r="F274" s="109">
        <f>IF(E274=$E$6,('Detailed Report'!Y270),IF(E274=$E$5,(0),0))</f>
        <v>1208.98</v>
      </c>
      <c r="G274" s="106">
        <f>IF(E274=$E$6,('Detailed Report'!AQ270),IF(E274=$E$5,('Detailed Report'!AW270),0))</f>
        <v>1060.5087699999999</v>
      </c>
      <c r="H274" s="106">
        <f>'Detailed Report'!AS270</f>
        <v>265.12718999999998</v>
      </c>
      <c r="I274" s="106">
        <f>'Detailed Report'!AT270</f>
        <v>37.117806600000002</v>
      </c>
      <c r="J274" s="106">
        <f>'Detailed Report'!AO270</f>
        <v>21.157150000000001</v>
      </c>
      <c r="K274" s="106">
        <f>'Detailed Report'!AP270</f>
        <v>2.9620009999999999</v>
      </c>
      <c r="L274" s="106">
        <f>'Detailed Report'!AU270/1.14</f>
        <v>0</v>
      </c>
      <c r="M274" s="106">
        <f>'Detailed Report'!AU270-L274</f>
        <v>0</v>
      </c>
      <c r="N274" s="110">
        <f>'Detailed Report'!AW270</f>
        <v>882.61599999999999</v>
      </c>
      <c r="O274" s="111">
        <f t="shared" si="50"/>
        <v>177.89276999999993</v>
      </c>
      <c r="P274" s="110">
        <f>'Detailed Report'!AM270</f>
        <v>0</v>
      </c>
      <c r="Q274" s="110">
        <f>'Detailed Report'!AN270</f>
        <v>0</v>
      </c>
      <c r="R274" s="110">
        <f>'Detailed Report'!AU270/1.14</f>
        <v>0</v>
      </c>
      <c r="S274" s="110">
        <f>'Detailed Report'!AU270-'........... - Otlob'!R274</f>
        <v>0</v>
      </c>
    </row>
    <row r="275" spans="1:19" ht="14.45" customHeight="1" x14ac:dyDescent="0.25">
      <c r="A275" s="105">
        <f>+IF(B275="","",SUBTOTAL(3,B$8:B275))</f>
        <v>268</v>
      </c>
      <c r="B275" s="106" t="str">
        <f>'Detailed Report'!O271</f>
        <v>Fuddruckers - City Stars</v>
      </c>
      <c r="C275" s="107">
        <f>TRUNC('Detailed Report'!Q271,0)</f>
        <v>46032</v>
      </c>
      <c r="D275" s="108">
        <f>'Detailed Report'!P271</f>
        <v>3392416653</v>
      </c>
      <c r="E275" s="106" t="str">
        <f>'Detailed Report'!S271</f>
        <v>Successful</v>
      </c>
      <c r="F275" s="109">
        <f>IF(E275=$E$6,('Detailed Report'!Y271),IF(E275=$E$5,(0),0))</f>
        <v>909.63</v>
      </c>
      <c r="G275" s="106">
        <f>IF(E275=$E$6,('Detailed Report'!AQ271),IF(E275=$E$5,('Detailed Report'!AW271),0))</f>
        <v>797.92105000000004</v>
      </c>
      <c r="H275" s="106">
        <f>'Detailed Report'!AS271</f>
        <v>199.48025999999999</v>
      </c>
      <c r="I275" s="106">
        <f>'Detailed Report'!AT271</f>
        <v>27.927236400000002</v>
      </c>
      <c r="J275" s="106">
        <f>'Detailed Report'!AO271</f>
        <v>0</v>
      </c>
      <c r="K275" s="106">
        <f>'Detailed Report'!AP271</f>
        <v>0</v>
      </c>
      <c r="L275" s="106">
        <f>'Detailed Report'!AU271/1.14</f>
        <v>0</v>
      </c>
      <c r="M275" s="106">
        <f>'Detailed Report'!AU271-L275</f>
        <v>0</v>
      </c>
      <c r="N275" s="110">
        <f>'Detailed Report'!AW271</f>
        <v>682.22299999999996</v>
      </c>
      <c r="O275" s="111">
        <f t="shared" si="50"/>
        <v>115.69805000000008</v>
      </c>
      <c r="P275" s="110">
        <f>'Detailed Report'!AM271</f>
        <v>0</v>
      </c>
      <c r="Q275" s="110">
        <f>'Detailed Report'!AN271</f>
        <v>0</v>
      </c>
      <c r="R275" s="110">
        <f>'Detailed Report'!AU271/1.14</f>
        <v>0</v>
      </c>
      <c r="S275" s="110">
        <f>'Detailed Report'!AU271-'........... - Otlob'!R275</f>
        <v>0</v>
      </c>
    </row>
    <row r="276" spans="1:19" ht="14.45" customHeight="1" x14ac:dyDescent="0.25">
      <c r="A276" s="105">
        <f>+IF(B276="","",SUBTOTAL(3,B$8:B276))</f>
        <v>269</v>
      </c>
      <c r="B276" s="106" t="str">
        <f>'Detailed Report'!O272</f>
        <v>Fuddruckers - New Maadi</v>
      </c>
      <c r="C276" s="107">
        <f>TRUNC('Detailed Report'!Q272,0)</f>
        <v>46032</v>
      </c>
      <c r="D276" s="108">
        <f>'Detailed Report'!P272</f>
        <v>3392463709</v>
      </c>
      <c r="E276" s="106" t="str">
        <f>'Detailed Report'!S272</f>
        <v>Successful</v>
      </c>
      <c r="F276" s="109">
        <f>IF(E276=$E$6,('Detailed Report'!Y272),IF(E276=$E$5,(0),0))</f>
        <v>897.93</v>
      </c>
      <c r="G276" s="106">
        <f>IF(E276=$E$6,('Detailed Report'!AQ272),IF(E276=$E$5,('Detailed Report'!AW272),0))</f>
        <v>787.65788999999995</v>
      </c>
      <c r="H276" s="106">
        <f>'Detailed Report'!AS272</f>
        <v>196.91446999999999</v>
      </c>
      <c r="I276" s="106">
        <f>'Detailed Report'!AT272</f>
        <v>27.568025800000001</v>
      </c>
      <c r="J276" s="106">
        <f>'Detailed Report'!AO272</f>
        <v>15.713775</v>
      </c>
      <c r="K276" s="106">
        <f>'Detailed Report'!AP272</f>
        <v>2.1999285</v>
      </c>
      <c r="L276" s="106">
        <f>'Detailed Report'!AU272/1.14</f>
        <v>27.184210526315791</v>
      </c>
      <c r="M276" s="106">
        <f>'Detailed Report'!AU272-L276</f>
        <v>3.8057894736842073</v>
      </c>
      <c r="N276" s="110">
        <f>'Detailed Report'!AW272</f>
        <v>624.54399999999998</v>
      </c>
      <c r="O276" s="111">
        <f t="shared" si="50"/>
        <v>163.11388999999997</v>
      </c>
      <c r="P276" s="110">
        <f>'Detailed Report'!AM272</f>
        <v>0</v>
      </c>
      <c r="Q276" s="110">
        <f>'Detailed Report'!AN272</f>
        <v>0</v>
      </c>
      <c r="R276" s="110">
        <f>'Detailed Report'!AU272/1.14</f>
        <v>27.184210526315791</v>
      </c>
      <c r="S276" s="110">
        <f>'Detailed Report'!AU272-'........... - Otlob'!R276</f>
        <v>3.8057894736842073</v>
      </c>
    </row>
    <row r="277" spans="1:19" ht="14.45" customHeight="1" x14ac:dyDescent="0.25">
      <c r="A277" s="105">
        <f>+IF(B277="","",SUBTOTAL(3,B$8:B277))</f>
        <v>270</v>
      </c>
      <c r="B277" s="106" t="str">
        <f>'Detailed Report'!O273</f>
        <v>Fuddruckers - New Maadi</v>
      </c>
      <c r="C277" s="107">
        <f>TRUNC('Detailed Report'!Q273,0)</f>
        <v>46032</v>
      </c>
      <c r="D277" s="108">
        <f>'Detailed Report'!P273</f>
        <v>3392466043</v>
      </c>
      <c r="E277" s="106" t="str">
        <f>'Detailed Report'!S273</f>
        <v>Successful</v>
      </c>
      <c r="F277" s="109">
        <f>IF(E277=$E$6,('Detailed Report'!Y273),IF(E277=$E$5,(0),0))</f>
        <v>816.98</v>
      </c>
      <c r="G277" s="106">
        <f>IF(E277=$E$6,('Detailed Report'!AQ273),IF(E277=$E$5,('Detailed Report'!AW273),0))</f>
        <v>716.64912000000004</v>
      </c>
      <c r="H277" s="106">
        <f>'Detailed Report'!AS273</f>
        <v>179.16228000000001</v>
      </c>
      <c r="I277" s="106">
        <f>'Detailed Report'!AT273</f>
        <v>25.0827192</v>
      </c>
      <c r="J277" s="106">
        <f>'Detailed Report'!AO273</f>
        <v>14.29715</v>
      </c>
      <c r="K277" s="106">
        <f>'Detailed Report'!AP273</f>
        <v>2.001601</v>
      </c>
      <c r="L277" s="106">
        <f>'Detailed Report'!AU273/1.14</f>
        <v>0</v>
      </c>
      <c r="M277" s="106">
        <f>'Detailed Report'!AU273-L277</f>
        <v>0</v>
      </c>
      <c r="N277" s="110">
        <f>'Detailed Report'!AW273</f>
        <v>596.43600000000004</v>
      </c>
      <c r="O277" s="111">
        <f t="shared" si="50"/>
        <v>120.21312</v>
      </c>
      <c r="P277" s="110">
        <f>'Detailed Report'!AM273</f>
        <v>0</v>
      </c>
      <c r="Q277" s="110">
        <f>'Detailed Report'!AN273</f>
        <v>0</v>
      </c>
      <c r="R277" s="110">
        <f>'Detailed Report'!AU273/1.14</f>
        <v>0</v>
      </c>
      <c r="S277" s="110">
        <f>'Detailed Report'!AU273-'........... - Otlob'!R277</f>
        <v>0</v>
      </c>
    </row>
    <row r="278" spans="1:19" ht="14.45" customHeight="1" x14ac:dyDescent="0.25">
      <c r="A278" s="105">
        <f>+IF(B278="","",SUBTOTAL(3,B$8:B278))</f>
        <v>271</v>
      </c>
      <c r="B278" s="106" t="str">
        <f>'Detailed Report'!O274</f>
        <v>Fuddruckers - New Maadi</v>
      </c>
      <c r="C278" s="107">
        <f>TRUNC('Detailed Report'!Q274,0)</f>
        <v>46032</v>
      </c>
      <c r="D278" s="108">
        <f>'Detailed Report'!P274</f>
        <v>3392492381</v>
      </c>
      <c r="E278" s="106" t="str">
        <f>'Detailed Report'!S274</f>
        <v>Successful</v>
      </c>
      <c r="F278" s="109">
        <f>IF(E278=$E$6,('Detailed Report'!Y274),IF(E278=$E$5,(0),0))</f>
        <v>319.99</v>
      </c>
      <c r="G278" s="106">
        <f>IF(E278=$E$6,('Detailed Report'!AQ274),IF(E278=$E$5,('Detailed Report'!AW274),0))</f>
        <v>280.69297999999998</v>
      </c>
      <c r="H278" s="106">
        <f>'Detailed Report'!AS274</f>
        <v>70.173249999999996</v>
      </c>
      <c r="I278" s="106">
        <f>'Detailed Report'!AT274</f>
        <v>9.8242550000000008</v>
      </c>
      <c r="J278" s="106">
        <f>'Detailed Report'!AO274</f>
        <v>5.5998250000000001</v>
      </c>
      <c r="K278" s="106">
        <f>'Detailed Report'!AP274</f>
        <v>0.78397550000000005</v>
      </c>
      <c r="L278" s="106">
        <f>'Detailed Report'!AU274/1.14</f>
        <v>0</v>
      </c>
      <c r="M278" s="106">
        <f>'Detailed Report'!AU274-L278</f>
        <v>0</v>
      </c>
      <c r="N278" s="110">
        <f>'Detailed Report'!AW274</f>
        <v>233.60900000000001</v>
      </c>
      <c r="O278" s="111">
        <f t="shared" si="50"/>
        <v>47.083979999999968</v>
      </c>
      <c r="P278" s="110">
        <f>'Detailed Report'!AM274</f>
        <v>0</v>
      </c>
      <c r="Q278" s="110">
        <f>'Detailed Report'!AN274</f>
        <v>0</v>
      </c>
      <c r="R278" s="110">
        <f>'Detailed Report'!AU274/1.14</f>
        <v>0</v>
      </c>
      <c r="S278" s="110">
        <f>'Detailed Report'!AU274-'........... - Otlob'!R278</f>
        <v>0</v>
      </c>
    </row>
    <row r="279" spans="1:19" ht="14.45" customHeight="1" x14ac:dyDescent="0.25">
      <c r="A279" s="105">
        <f>+IF(B279="","",SUBTOTAL(3,B$8:B279))</f>
        <v>272</v>
      </c>
      <c r="B279" s="106" t="str">
        <f>'Detailed Report'!O275</f>
        <v>Fuddruckers - Concord Plaza Mall</v>
      </c>
      <c r="C279" s="107">
        <f>TRUNC('Detailed Report'!Q275,0)</f>
        <v>46032</v>
      </c>
      <c r="D279" s="108">
        <f>'Detailed Report'!P275</f>
        <v>3392517266</v>
      </c>
      <c r="E279" s="106" t="str">
        <f>'Detailed Report'!S275</f>
        <v>Successful</v>
      </c>
      <c r="F279" s="109">
        <f>IF(E279=$E$6,('Detailed Report'!Y275),IF(E279=$E$5,(0),0))</f>
        <v>353.99</v>
      </c>
      <c r="G279" s="106">
        <f>IF(E279=$E$6,('Detailed Report'!AQ275),IF(E279=$E$5,('Detailed Report'!AW275),0))</f>
        <v>310.51754</v>
      </c>
      <c r="H279" s="106">
        <f>'Detailed Report'!AS275</f>
        <v>77.629390000000001</v>
      </c>
      <c r="I279" s="106">
        <f>'Detailed Report'!AT275</f>
        <v>10.8681146</v>
      </c>
      <c r="J279" s="106">
        <f>'Detailed Report'!AO275</f>
        <v>6.1948249999999998</v>
      </c>
      <c r="K279" s="106">
        <f>'Detailed Report'!AP275</f>
        <v>0.86727549999999998</v>
      </c>
      <c r="L279" s="106">
        <f>'Detailed Report'!AU275/1.14</f>
        <v>0</v>
      </c>
      <c r="M279" s="106">
        <f>'Detailed Report'!AU275-L279</f>
        <v>0</v>
      </c>
      <c r="N279" s="110">
        <f>'Detailed Report'!AW275</f>
        <v>258.43</v>
      </c>
      <c r="O279" s="111">
        <f t="shared" si="50"/>
        <v>52.08753999999999</v>
      </c>
      <c r="P279" s="110">
        <f>'Detailed Report'!AM275</f>
        <v>0</v>
      </c>
      <c r="Q279" s="110">
        <f>'Detailed Report'!AN275</f>
        <v>0</v>
      </c>
      <c r="R279" s="110">
        <f>'Detailed Report'!AU275/1.14</f>
        <v>0</v>
      </c>
      <c r="S279" s="110">
        <f>'Detailed Report'!AU275-'........... - Otlob'!R279</f>
        <v>0</v>
      </c>
    </row>
    <row r="280" spans="1:19" ht="14.45" customHeight="1" x14ac:dyDescent="0.25">
      <c r="A280" s="105">
        <f>+IF(B280="","",SUBTOTAL(3,B$8:B280))</f>
        <v>273</v>
      </c>
      <c r="B280" s="106" t="str">
        <f>'Detailed Report'!O276</f>
        <v>Fuddruckers - City Stars</v>
      </c>
      <c r="C280" s="107">
        <f>TRUNC('Detailed Report'!Q276,0)</f>
        <v>46032</v>
      </c>
      <c r="D280" s="108">
        <f>'Detailed Report'!P276</f>
        <v>3392551608</v>
      </c>
      <c r="E280" s="106" t="str">
        <f>'Detailed Report'!S276</f>
        <v>Successful</v>
      </c>
      <c r="F280" s="109">
        <f>IF(E280=$E$6,('Detailed Report'!Y276),IF(E280=$E$5,(0),0))</f>
        <v>319.26</v>
      </c>
      <c r="G280" s="106">
        <f>IF(E280=$E$6,('Detailed Report'!AQ276),IF(E280=$E$5,('Detailed Report'!AW276),0))</f>
        <v>280.05263000000002</v>
      </c>
      <c r="H280" s="106">
        <f>'Detailed Report'!AS276</f>
        <v>70.013159999999999</v>
      </c>
      <c r="I280" s="106">
        <f>'Detailed Report'!AT276</f>
        <v>9.8018424</v>
      </c>
      <c r="J280" s="106">
        <f>'Detailed Report'!AO276</f>
        <v>0</v>
      </c>
      <c r="K280" s="106">
        <f>'Detailed Report'!AP276</f>
        <v>0</v>
      </c>
      <c r="L280" s="106">
        <f>'Detailed Report'!AU276/1.14</f>
        <v>25.42982456140351</v>
      </c>
      <c r="M280" s="106">
        <f>'Detailed Report'!AU276-L280</f>
        <v>3.5601754385964881</v>
      </c>
      <c r="N280" s="110">
        <f>'Detailed Report'!AW276</f>
        <v>210.45500000000001</v>
      </c>
      <c r="O280" s="111">
        <f t="shared" si="50"/>
        <v>69.597630000000009</v>
      </c>
      <c r="P280" s="110">
        <f>'Detailed Report'!AM276</f>
        <v>0</v>
      </c>
      <c r="Q280" s="110">
        <f>'Detailed Report'!AN276</f>
        <v>0</v>
      </c>
      <c r="R280" s="110">
        <f>'Detailed Report'!AU276/1.14</f>
        <v>25.42982456140351</v>
      </c>
      <c r="S280" s="110">
        <f>'Detailed Report'!AU276-'........... - Otlob'!R280</f>
        <v>3.5601754385964881</v>
      </c>
    </row>
    <row r="281" spans="1:19" ht="14.45" customHeight="1" x14ac:dyDescent="0.25">
      <c r="A281" s="105">
        <f>+IF(B281="","",SUBTOTAL(3,B$8:B281))</f>
        <v>274</v>
      </c>
      <c r="B281" s="106" t="str">
        <f>'Detailed Report'!O277</f>
        <v>Fuddruckers - New Maadi</v>
      </c>
      <c r="C281" s="107">
        <f>TRUNC('Detailed Report'!Q277,0)</f>
        <v>46032</v>
      </c>
      <c r="D281" s="108">
        <f>'Detailed Report'!P277</f>
        <v>3392564912</v>
      </c>
      <c r="E281" s="106" t="str">
        <f>'Detailed Report'!S277</f>
        <v>Successful</v>
      </c>
      <c r="F281" s="109">
        <f>IF(E281=$E$6,('Detailed Report'!Y277),IF(E281=$E$5,(0),0))</f>
        <v>1055.97</v>
      </c>
      <c r="G281" s="106">
        <f>IF(E281=$E$6,('Detailed Report'!AQ277),IF(E281=$E$5,('Detailed Report'!AW277),0))</f>
        <v>926.28947000000005</v>
      </c>
      <c r="H281" s="106">
        <f>'Detailed Report'!AS277</f>
        <v>231.57237000000001</v>
      </c>
      <c r="I281" s="106">
        <f>'Detailed Report'!AT277</f>
        <v>32.4201318</v>
      </c>
      <c r="J281" s="106">
        <f>'Detailed Report'!AO277</f>
        <v>18.479475000000001</v>
      </c>
      <c r="K281" s="106">
        <f>'Detailed Report'!AP277</f>
        <v>2.5871265000000001</v>
      </c>
      <c r="L281" s="106">
        <f>'Detailed Report'!AU277/1.14</f>
        <v>0</v>
      </c>
      <c r="M281" s="106">
        <f>'Detailed Report'!AU277-L281</f>
        <v>0</v>
      </c>
      <c r="N281" s="110">
        <f>'Detailed Report'!AW277</f>
        <v>770.91099999999994</v>
      </c>
      <c r="O281" s="111">
        <f t="shared" si="50"/>
        <v>155.37847000000011</v>
      </c>
      <c r="P281" s="110">
        <f>'Detailed Report'!AM277</f>
        <v>0</v>
      </c>
      <c r="Q281" s="110">
        <f>'Detailed Report'!AN277</f>
        <v>0</v>
      </c>
      <c r="R281" s="110">
        <f>'Detailed Report'!AU277/1.14</f>
        <v>0</v>
      </c>
      <c r="S281" s="110">
        <f>'Detailed Report'!AU277-'........... - Otlob'!R281</f>
        <v>0</v>
      </c>
    </row>
    <row r="282" spans="1:19" ht="14.45" customHeight="1" x14ac:dyDescent="0.25">
      <c r="A282" s="105">
        <f>+IF(B282="","",SUBTOTAL(3,B$8:B282))</f>
        <v>275</v>
      </c>
      <c r="B282" s="106" t="str">
        <f>'Detailed Report'!O278</f>
        <v>Fuddruckers - New Maadi</v>
      </c>
      <c r="C282" s="107">
        <f>TRUNC('Detailed Report'!Q278,0)</f>
        <v>46032</v>
      </c>
      <c r="D282" s="108">
        <f>'Detailed Report'!P278</f>
        <v>3392589685</v>
      </c>
      <c r="E282" s="106" t="str">
        <f>'Detailed Report'!S278</f>
        <v>Successful</v>
      </c>
      <c r="F282" s="109">
        <f>IF(E282=$E$6,('Detailed Report'!Y278),IF(E282=$E$5,(0),0))</f>
        <v>362.99</v>
      </c>
      <c r="G282" s="106">
        <f>IF(E282=$E$6,('Detailed Report'!AQ278),IF(E282=$E$5,('Detailed Report'!AW278),0))</f>
        <v>318.41228000000001</v>
      </c>
      <c r="H282" s="106">
        <f>'Detailed Report'!AS278</f>
        <v>79.603070000000002</v>
      </c>
      <c r="I282" s="106">
        <f>'Detailed Report'!AT278</f>
        <v>11.144429799999999</v>
      </c>
      <c r="J282" s="106">
        <f>'Detailed Report'!AO278</f>
        <v>0</v>
      </c>
      <c r="K282" s="106">
        <f>'Detailed Report'!AP278</f>
        <v>0</v>
      </c>
      <c r="L282" s="106">
        <f>'Detailed Report'!AU278/1.14</f>
        <v>0</v>
      </c>
      <c r="M282" s="106">
        <f>'Detailed Report'!AU278-L282</f>
        <v>0</v>
      </c>
      <c r="N282" s="110">
        <f>'Detailed Report'!AW278</f>
        <v>272.24299999999999</v>
      </c>
      <c r="O282" s="111">
        <f t="shared" si="50"/>
        <v>46.169280000000015</v>
      </c>
      <c r="P282" s="110">
        <f>'Detailed Report'!AM278</f>
        <v>0</v>
      </c>
      <c r="Q282" s="110">
        <f>'Detailed Report'!AN278</f>
        <v>0</v>
      </c>
      <c r="R282" s="110">
        <f>'Detailed Report'!AU278/1.14</f>
        <v>0</v>
      </c>
      <c r="S282" s="110">
        <f>'Detailed Report'!AU278-'........... - Otlob'!R282</f>
        <v>0</v>
      </c>
    </row>
    <row r="283" spans="1:19" ht="14.45" customHeight="1" x14ac:dyDescent="0.25">
      <c r="A283" s="105">
        <f>+IF(B283="","",SUBTOTAL(3,B$8:B283))</f>
        <v>276</v>
      </c>
      <c r="B283" s="106" t="str">
        <f>'Detailed Report'!O279</f>
        <v>Fuddruckers - New Maadi</v>
      </c>
      <c r="C283" s="107">
        <f>TRUNC('Detailed Report'!Q279,0)</f>
        <v>46032</v>
      </c>
      <c r="D283" s="108">
        <f>'Detailed Report'!P279</f>
        <v>3392590155</v>
      </c>
      <c r="E283" s="106" t="str">
        <f>'Detailed Report'!S279</f>
        <v>Successful</v>
      </c>
      <c r="F283" s="109">
        <f>IF(E283=$E$6,('Detailed Report'!Y279),IF(E283=$E$5,(0),0))</f>
        <v>797.97</v>
      </c>
      <c r="G283" s="106">
        <f>IF(E283=$E$6,('Detailed Report'!AQ279),IF(E283=$E$5,('Detailed Report'!AW279),0))</f>
        <v>699.97367999999994</v>
      </c>
      <c r="H283" s="106">
        <f>'Detailed Report'!AS279</f>
        <v>174.99341999999999</v>
      </c>
      <c r="I283" s="106">
        <f>'Detailed Report'!AT279</f>
        <v>24.499078799999999</v>
      </c>
      <c r="J283" s="106">
        <f>'Detailed Report'!AO279</f>
        <v>13.964475</v>
      </c>
      <c r="K283" s="106">
        <f>'Detailed Report'!AP279</f>
        <v>1.9550265</v>
      </c>
      <c r="L283" s="106">
        <f>'Detailed Report'!AU279/1.14</f>
        <v>23.67543859649123</v>
      </c>
      <c r="M283" s="106">
        <f>'Detailed Report'!AU279-L283</f>
        <v>3.3145614035087689</v>
      </c>
      <c r="N283" s="110">
        <f>'Detailed Report'!AW279</f>
        <v>555.56799999999998</v>
      </c>
      <c r="O283" s="111">
        <f t="shared" si="50"/>
        <v>144.40567999999996</v>
      </c>
      <c r="P283" s="110">
        <f>'Detailed Report'!AM279</f>
        <v>0</v>
      </c>
      <c r="Q283" s="110">
        <f>'Detailed Report'!AN279</f>
        <v>0</v>
      </c>
      <c r="R283" s="110">
        <f>'Detailed Report'!AU279/1.14</f>
        <v>23.67543859649123</v>
      </c>
      <c r="S283" s="110">
        <f>'Detailed Report'!AU279-'........... - Otlob'!R283</f>
        <v>3.3145614035087689</v>
      </c>
    </row>
    <row r="284" spans="1:19" ht="14.45" customHeight="1" x14ac:dyDescent="0.25">
      <c r="A284" s="105">
        <f>+IF(B284="","",SUBTOTAL(3,B$8:B284))</f>
        <v>277</v>
      </c>
      <c r="B284" s="106" t="str">
        <f>'Detailed Report'!O280</f>
        <v>Fuddruckers - City Stars</v>
      </c>
      <c r="C284" s="107">
        <f>TRUNC('Detailed Report'!Q280,0)</f>
        <v>46032</v>
      </c>
      <c r="D284" s="108">
        <f>'Detailed Report'!P280</f>
        <v>3392601402</v>
      </c>
      <c r="E284" s="106" t="str">
        <f>'Detailed Report'!S280</f>
        <v>Successful</v>
      </c>
      <c r="F284" s="109">
        <f>IF(E284=$E$6,('Detailed Report'!Y280),IF(E284=$E$5,(0),0))</f>
        <v>702.97</v>
      </c>
      <c r="G284" s="106">
        <f>IF(E284=$E$6,('Detailed Report'!AQ280),IF(E284=$E$5,('Detailed Report'!AW280),0))</f>
        <v>616.64035000000001</v>
      </c>
      <c r="H284" s="106">
        <f>'Detailed Report'!AS280</f>
        <v>154.16009</v>
      </c>
      <c r="I284" s="106">
        <f>'Detailed Report'!AT280</f>
        <v>21.582412600000001</v>
      </c>
      <c r="J284" s="106">
        <f>'Detailed Report'!AO280</f>
        <v>0</v>
      </c>
      <c r="K284" s="106">
        <f>'Detailed Report'!AP280</f>
        <v>0</v>
      </c>
      <c r="L284" s="106">
        <f>'Detailed Report'!AU280/1.14</f>
        <v>0</v>
      </c>
      <c r="M284" s="106">
        <f>'Detailed Report'!AU280-L284</f>
        <v>0</v>
      </c>
      <c r="N284" s="110">
        <f>'Detailed Report'!AW280</f>
        <v>527.22699999999998</v>
      </c>
      <c r="O284" s="111">
        <f t="shared" si="50"/>
        <v>89.413350000000037</v>
      </c>
      <c r="P284" s="110">
        <f>'Detailed Report'!AM280</f>
        <v>0</v>
      </c>
      <c r="Q284" s="110">
        <f>'Detailed Report'!AN280</f>
        <v>0</v>
      </c>
      <c r="R284" s="110">
        <f>'Detailed Report'!AU280/1.14</f>
        <v>0</v>
      </c>
      <c r="S284" s="110">
        <f>'Detailed Report'!AU280-'........... - Otlob'!R284</f>
        <v>0</v>
      </c>
    </row>
    <row r="285" spans="1:19" ht="14.45" customHeight="1" x14ac:dyDescent="0.25">
      <c r="A285" s="105">
        <f>+IF(B285="","",SUBTOTAL(3,B$8:B285))</f>
        <v>278</v>
      </c>
      <c r="B285" s="106" t="str">
        <f>'Detailed Report'!O281</f>
        <v>Fuddruckers - New Maadi</v>
      </c>
      <c r="C285" s="107">
        <f>TRUNC('Detailed Report'!Q281,0)</f>
        <v>46032</v>
      </c>
      <c r="D285" s="108">
        <f>'Detailed Report'!P281</f>
        <v>3392666918</v>
      </c>
      <c r="E285" s="106" t="str">
        <f>'Detailed Report'!S281</f>
        <v>Successful</v>
      </c>
      <c r="F285" s="109">
        <f>IF(E285=$E$6,('Detailed Report'!Y281),IF(E285=$E$5,(0),0))</f>
        <v>355</v>
      </c>
      <c r="G285" s="106">
        <f>IF(E285=$E$6,('Detailed Report'!AQ281),IF(E285=$E$5,('Detailed Report'!AW281),0))</f>
        <v>311.40350999999998</v>
      </c>
      <c r="H285" s="106">
        <f>'Detailed Report'!AS281</f>
        <v>77.850880000000004</v>
      </c>
      <c r="I285" s="106">
        <f>'Detailed Report'!AT281</f>
        <v>10.8991232</v>
      </c>
      <c r="J285" s="106">
        <f>'Detailed Report'!AO281</f>
        <v>0</v>
      </c>
      <c r="K285" s="106">
        <f>'Detailed Report'!AP281</f>
        <v>0</v>
      </c>
      <c r="L285" s="106">
        <f>'Detailed Report'!AU281/1.14</f>
        <v>0</v>
      </c>
      <c r="M285" s="106">
        <f>'Detailed Report'!AU281-L285</f>
        <v>0</v>
      </c>
      <c r="N285" s="110">
        <f>'Detailed Report'!AW281</f>
        <v>266.25</v>
      </c>
      <c r="O285" s="111">
        <f t="shared" si="50"/>
        <v>45.153509999999983</v>
      </c>
      <c r="P285" s="110">
        <f>'Detailed Report'!AM281</f>
        <v>0</v>
      </c>
      <c r="Q285" s="110">
        <f>'Detailed Report'!AN281</f>
        <v>0</v>
      </c>
      <c r="R285" s="110">
        <f>'Detailed Report'!AU281/1.14</f>
        <v>0</v>
      </c>
      <c r="S285" s="110">
        <f>'Detailed Report'!AU281-'........... - Otlob'!R285</f>
        <v>0</v>
      </c>
    </row>
    <row r="286" spans="1:19" ht="14.45" customHeight="1" x14ac:dyDescent="0.25">
      <c r="A286" s="105">
        <f>+IF(B286="","",SUBTOTAL(3,B$8:B286))</f>
        <v>279</v>
      </c>
      <c r="B286" s="106" t="str">
        <f>'Detailed Report'!O282</f>
        <v>Fuddruckers - Concord Plaza Mall</v>
      </c>
      <c r="C286" s="107">
        <f>TRUNC('Detailed Report'!Q282,0)</f>
        <v>46032</v>
      </c>
      <c r="D286" s="108">
        <f>'Detailed Report'!P282</f>
        <v>3392700799</v>
      </c>
      <c r="E286" s="106" t="str">
        <f>'Detailed Report'!S282</f>
        <v>Successful</v>
      </c>
      <c r="F286" s="109">
        <f>IF(E286=$E$6,('Detailed Report'!Y282),IF(E286=$E$5,(0),0))</f>
        <v>1502.95</v>
      </c>
      <c r="G286" s="106">
        <f>IF(E286=$E$6,('Detailed Report'!AQ282),IF(E286=$E$5,('Detailed Report'!AW282),0))</f>
        <v>1318.3771899999999</v>
      </c>
      <c r="H286" s="106">
        <f>'Detailed Report'!AS282</f>
        <v>329.59429999999998</v>
      </c>
      <c r="I286" s="106">
        <f>'Detailed Report'!AT282</f>
        <v>46.143202000000002</v>
      </c>
      <c r="J286" s="106">
        <f>'Detailed Report'!AO282</f>
        <v>0</v>
      </c>
      <c r="K286" s="106">
        <f>'Detailed Report'!AP282</f>
        <v>0</v>
      </c>
      <c r="L286" s="106">
        <f>'Detailed Report'!AU282/1.14</f>
        <v>32.447368421052637</v>
      </c>
      <c r="M286" s="106">
        <f>'Detailed Report'!AU282-L286</f>
        <v>4.5426315789473648</v>
      </c>
      <c r="N286" s="110">
        <f>'Detailed Report'!AW282</f>
        <v>1090.222</v>
      </c>
      <c r="O286" s="111">
        <f t="shared" si="50"/>
        <v>228.15518999999995</v>
      </c>
      <c r="P286" s="110">
        <f>'Detailed Report'!AM282</f>
        <v>0</v>
      </c>
      <c r="Q286" s="110">
        <f>'Detailed Report'!AN282</f>
        <v>0</v>
      </c>
      <c r="R286" s="110">
        <f>'Detailed Report'!AU282/1.14</f>
        <v>32.447368421052637</v>
      </c>
      <c r="S286" s="110">
        <f>'Detailed Report'!AU282-'........... - Otlob'!R286</f>
        <v>4.5426315789473648</v>
      </c>
    </row>
    <row r="287" spans="1:19" ht="14.45" customHeight="1" x14ac:dyDescent="0.25">
      <c r="A287" s="105">
        <f>+IF(B287="","",SUBTOTAL(3,B$8:B287))</f>
        <v>280</v>
      </c>
      <c r="B287" s="106" t="str">
        <f>'Detailed Report'!O283</f>
        <v>Fuddruckers - Concord Plaza Mall</v>
      </c>
      <c r="C287" s="107">
        <f>TRUNC('Detailed Report'!Q283,0)</f>
        <v>46032</v>
      </c>
      <c r="D287" s="108">
        <f>'Detailed Report'!P283</f>
        <v>3392709841</v>
      </c>
      <c r="E287" s="106" t="str">
        <f>'Detailed Report'!S283</f>
        <v>Successful</v>
      </c>
      <c r="F287" s="109">
        <f>IF(E287=$E$6,('Detailed Report'!Y283),IF(E287=$E$5,(0),0))</f>
        <v>315.66000000000003</v>
      </c>
      <c r="G287" s="106">
        <f>IF(E287=$E$6,('Detailed Report'!AQ283),IF(E287=$E$5,('Detailed Report'!AW283),0))</f>
        <v>276.89474000000001</v>
      </c>
      <c r="H287" s="106">
        <f>'Detailed Report'!AS283</f>
        <v>69.223690000000005</v>
      </c>
      <c r="I287" s="106">
        <f>'Detailed Report'!AT283</f>
        <v>9.6913166000000004</v>
      </c>
      <c r="J287" s="106">
        <f>'Detailed Report'!AO283</f>
        <v>0</v>
      </c>
      <c r="K287" s="106">
        <f>'Detailed Report'!AP283</f>
        <v>0</v>
      </c>
      <c r="L287" s="106">
        <f>'Detailed Report'!AU283/1.14</f>
        <v>0</v>
      </c>
      <c r="M287" s="106">
        <f>'Detailed Report'!AU283-L287</f>
        <v>0</v>
      </c>
      <c r="N287" s="110">
        <f>'Detailed Report'!AW283</f>
        <v>236.745</v>
      </c>
      <c r="O287" s="111">
        <f t="shared" si="50"/>
        <v>40.149740000000008</v>
      </c>
      <c r="P287" s="110">
        <f>'Detailed Report'!AM283</f>
        <v>0</v>
      </c>
      <c r="Q287" s="110">
        <f>'Detailed Report'!AN283</f>
        <v>0</v>
      </c>
      <c r="R287" s="110">
        <f>'Detailed Report'!AU283/1.14</f>
        <v>0</v>
      </c>
      <c r="S287" s="110">
        <f>'Detailed Report'!AU283-'........... - Otlob'!R287</f>
        <v>0</v>
      </c>
    </row>
    <row r="288" spans="1:19" ht="14.45" customHeight="1" x14ac:dyDescent="0.25">
      <c r="A288" s="105">
        <f>+IF(B288="","",SUBTOTAL(3,B$8:B288))</f>
        <v>281</v>
      </c>
      <c r="B288" s="106" t="str">
        <f>'Detailed Report'!O284</f>
        <v>Fuddruckers - Concord Plaza Mall</v>
      </c>
      <c r="C288" s="107">
        <f>TRUNC('Detailed Report'!Q284,0)</f>
        <v>46032</v>
      </c>
      <c r="D288" s="108">
        <f>'Detailed Report'!P284</f>
        <v>3392717124</v>
      </c>
      <c r="E288" s="106" t="str">
        <f>'Detailed Report'!S284</f>
        <v>Successful</v>
      </c>
      <c r="F288" s="109">
        <f>IF(E288=$E$6,('Detailed Report'!Y284),IF(E288=$E$5,(0),0))</f>
        <v>460.65</v>
      </c>
      <c r="G288" s="106">
        <f>IF(E288=$E$6,('Detailed Report'!AQ284),IF(E288=$E$5,('Detailed Report'!AW284),0))</f>
        <v>404.07895000000002</v>
      </c>
      <c r="H288" s="106">
        <f>'Detailed Report'!AS284</f>
        <v>101.01974</v>
      </c>
      <c r="I288" s="106">
        <f>'Detailed Report'!AT284</f>
        <v>14.1427636</v>
      </c>
      <c r="J288" s="106">
        <f>'Detailed Report'!AO284</f>
        <v>8.061375</v>
      </c>
      <c r="K288" s="106">
        <f>'Detailed Report'!AP284</f>
        <v>1.1285925000000001</v>
      </c>
      <c r="L288" s="106">
        <f>'Detailed Report'!AU284/1.14</f>
        <v>27.184210526315791</v>
      </c>
      <c r="M288" s="106">
        <f>'Detailed Report'!AU284-L288</f>
        <v>3.8057894736842073</v>
      </c>
      <c r="N288" s="110">
        <f>'Detailed Report'!AW284</f>
        <v>305.30799999999999</v>
      </c>
      <c r="O288" s="111">
        <f t="shared" si="50"/>
        <v>98.770950000000028</v>
      </c>
      <c r="P288" s="110">
        <f>'Detailed Report'!AM284</f>
        <v>0</v>
      </c>
      <c r="Q288" s="110">
        <f>'Detailed Report'!AN284</f>
        <v>0</v>
      </c>
      <c r="R288" s="110">
        <f>'Detailed Report'!AU284/1.14</f>
        <v>27.184210526315791</v>
      </c>
      <c r="S288" s="110">
        <f>'Detailed Report'!AU284-'........... - Otlob'!R288</f>
        <v>3.8057894736842073</v>
      </c>
    </row>
    <row r="289" spans="1:19" ht="14.45" customHeight="1" x14ac:dyDescent="0.25">
      <c r="A289" s="105">
        <f>+IF(B289="","",SUBTOTAL(3,B$8:B289))</f>
        <v>282</v>
      </c>
      <c r="B289" s="106" t="str">
        <f>'Detailed Report'!O285</f>
        <v>Fuddruckers - Concord Plaza Mall</v>
      </c>
      <c r="C289" s="107">
        <f>TRUNC('Detailed Report'!Q285,0)</f>
        <v>46032</v>
      </c>
      <c r="D289" s="108">
        <f>'Detailed Report'!P285</f>
        <v>3392767888</v>
      </c>
      <c r="E289" s="106" t="str">
        <f>'Detailed Report'!S285</f>
        <v>Successful</v>
      </c>
      <c r="F289" s="109">
        <f>IF(E289=$E$6,('Detailed Report'!Y285),IF(E289=$E$5,(0),0))</f>
        <v>363.99</v>
      </c>
      <c r="G289" s="106">
        <f>IF(E289=$E$6,('Detailed Report'!AQ285),IF(E289=$E$5,('Detailed Report'!AW285),0))</f>
        <v>319.28946999999999</v>
      </c>
      <c r="H289" s="106">
        <f>'Detailed Report'!AS285</f>
        <v>79.822370000000006</v>
      </c>
      <c r="I289" s="106">
        <f>'Detailed Report'!AT285</f>
        <v>11.175131800000001</v>
      </c>
      <c r="J289" s="106">
        <f>'Detailed Report'!AO285</f>
        <v>0</v>
      </c>
      <c r="K289" s="106">
        <f>'Detailed Report'!AP285</f>
        <v>0</v>
      </c>
      <c r="L289" s="106">
        <f>'Detailed Report'!AU285/1.14</f>
        <v>0</v>
      </c>
      <c r="M289" s="106">
        <f>'Detailed Report'!AU285-L289</f>
        <v>0</v>
      </c>
      <c r="N289" s="110">
        <f>'Detailed Report'!AW285</f>
        <v>272.99200000000002</v>
      </c>
      <c r="O289" s="111">
        <f t="shared" si="50"/>
        <v>46.297469999999976</v>
      </c>
      <c r="P289" s="110">
        <f>'Detailed Report'!AM285</f>
        <v>0</v>
      </c>
      <c r="Q289" s="110">
        <f>'Detailed Report'!AN285</f>
        <v>0</v>
      </c>
      <c r="R289" s="110">
        <f>'Detailed Report'!AU285/1.14</f>
        <v>0</v>
      </c>
      <c r="S289" s="110">
        <f>'Detailed Report'!AU285-'........... - Otlob'!R289</f>
        <v>0</v>
      </c>
    </row>
    <row r="290" spans="1:19" ht="14.45" customHeight="1" x14ac:dyDescent="0.25">
      <c r="A290" s="105">
        <f>+IF(B290="","",SUBTOTAL(3,B$8:B290))</f>
        <v>283</v>
      </c>
      <c r="B290" s="106" t="str">
        <f>'Detailed Report'!O286</f>
        <v>Fuddruckers - Concord Plaza Mall</v>
      </c>
      <c r="C290" s="107">
        <f>TRUNC('Detailed Report'!Q286,0)</f>
        <v>46032</v>
      </c>
      <c r="D290" s="108">
        <f>'Detailed Report'!P286</f>
        <v>3392802918</v>
      </c>
      <c r="E290" s="106" t="str">
        <f>'Detailed Report'!S286</f>
        <v>Successful</v>
      </c>
      <c r="F290" s="109">
        <f>IF(E290=$E$6,('Detailed Report'!Y286),IF(E290=$E$5,(0),0))</f>
        <v>746.98</v>
      </c>
      <c r="G290" s="106">
        <f>IF(E290=$E$6,('Detailed Report'!AQ286),IF(E290=$E$5,('Detailed Report'!AW286),0))</f>
        <v>655.24561000000006</v>
      </c>
      <c r="H290" s="106">
        <f>'Detailed Report'!AS286</f>
        <v>163.81139999999999</v>
      </c>
      <c r="I290" s="106">
        <f>'Detailed Report'!AT286</f>
        <v>22.933596000000001</v>
      </c>
      <c r="J290" s="106">
        <f>'Detailed Report'!AO286</f>
        <v>13.072150000000001</v>
      </c>
      <c r="K290" s="106">
        <f>'Detailed Report'!AP286</f>
        <v>1.830101</v>
      </c>
      <c r="L290" s="106">
        <f>'Detailed Report'!AU286/1.14</f>
        <v>0</v>
      </c>
      <c r="M290" s="106">
        <f>'Detailed Report'!AU286-L290</f>
        <v>0</v>
      </c>
      <c r="N290" s="110">
        <f>'Detailed Report'!AW286</f>
        <v>545.33299999999997</v>
      </c>
      <c r="O290" s="111">
        <f t="shared" si="50"/>
        <v>109.91261000000009</v>
      </c>
      <c r="P290" s="110">
        <f>'Detailed Report'!AM286</f>
        <v>0</v>
      </c>
      <c r="Q290" s="110">
        <f>'Detailed Report'!AN286</f>
        <v>0</v>
      </c>
      <c r="R290" s="110">
        <f>'Detailed Report'!AU286/1.14</f>
        <v>0</v>
      </c>
      <c r="S290" s="110">
        <f>'Detailed Report'!AU286-'........... - Otlob'!R290</f>
        <v>0</v>
      </c>
    </row>
    <row r="291" spans="1:19" ht="14.45" customHeight="1" x14ac:dyDescent="0.25">
      <c r="A291" s="105">
        <f>+IF(B291="","",SUBTOTAL(3,B$8:B291))</f>
        <v>284</v>
      </c>
      <c r="B291" s="106" t="str">
        <f>'Detailed Report'!O287</f>
        <v>Fuddruckers - New Maadi</v>
      </c>
      <c r="C291" s="107">
        <f>TRUNC('Detailed Report'!Q287,0)</f>
        <v>46032</v>
      </c>
      <c r="D291" s="108">
        <f>'Detailed Report'!P287</f>
        <v>3392820879</v>
      </c>
      <c r="E291" s="106" t="str">
        <f>'Detailed Report'!S287</f>
        <v>Successful</v>
      </c>
      <c r="F291" s="109">
        <f>IF(E291=$E$6,('Detailed Report'!Y287),IF(E291=$E$5,(0),0))</f>
        <v>253.99</v>
      </c>
      <c r="G291" s="106">
        <f>IF(E291=$E$6,('Detailed Report'!AQ287),IF(E291=$E$5,('Detailed Report'!AW287),0))</f>
        <v>222.79825</v>
      </c>
      <c r="H291" s="106">
        <f>'Detailed Report'!AS287</f>
        <v>55.699559999999998</v>
      </c>
      <c r="I291" s="106">
        <f>'Detailed Report'!AT287</f>
        <v>7.7979383999999996</v>
      </c>
      <c r="J291" s="106">
        <f>'Detailed Report'!AO287</f>
        <v>4.4448249999999998</v>
      </c>
      <c r="K291" s="106">
        <f>'Detailed Report'!AP287</f>
        <v>0.62227549999999998</v>
      </c>
      <c r="L291" s="106">
        <f>'Detailed Report'!AU287/1.14</f>
        <v>0</v>
      </c>
      <c r="M291" s="106">
        <f>'Detailed Report'!AU287-L291</f>
        <v>0</v>
      </c>
      <c r="N291" s="110">
        <f>'Detailed Report'!AW287</f>
        <v>185.42500000000001</v>
      </c>
      <c r="O291" s="111">
        <f t="shared" si="50"/>
        <v>37.373249999999985</v>
      </c>
      <c r="P291" s="110">
        <f>'Detailed Report'!AM287</f>
        <v>0</v>
      </c>
      <c r="Q291" s="110">
        <f>'Detailed Report'!AN287</f>
        <v>0</v>
      </c>
      <c r="R291" s="110">
        <f>'Detailed Report'!AU287/1.14</f>
        <v>0</v>
      </c>
      <c r="S291" s="110">
        <f>'Detailed Report'!AU287-'........... - Otlob'!R291</f>
        <v>0</v>
      </c>
    </row>
    <row r="292" spans="1:19" ht="14.45" customHeight="1" x14ac:dyDescent="0.25">
      <c r="A292" s="105">
        <f>+IF(B292="","",SUBTOTAL(3,B$8:B292))</f>
        <v>285</v>
      </c>
      <c r="B292" s="106" t="str">
        <f>'Detailed Report'!O288</f>
        <v>Fuddruckers - New Maadi</v>
      </c>
      <c r="C292" s="107">
        <f>TRUNC('Detailed Report'!Q288,0)</f>
        <v>46032</v>
      </c>
      <c r="D292" s="108">
        <f>'Detailed Report'!P288</f>
        <v>3392854542</v>
      </c>
      <c r="E292" s="106" t="str">
        <f>'Detailed Report'!S288</f>
        <v>Successful</v>
      </c>
      <c r="F292" s="109">
        <f>IF(E292=$E$6,('Detailed Report'!Y288),IF(E292=$E$5,(0),0))</f>
        <v>427.98</v>
      </c>
      <c r="G292" s="106">
        <f>IF(E292=$E$6,('Detailed Report'!AQ288),IF(E292=$E$5,('Detailed Report'!AW288),0))</f>
        <v>375.42104999999998</v>
      </c>
      <c r="H292" s="106">
        <f>'Detailed Report'!AS288</f>
        <v>93.855260000000001</v>
      </c>
      <c r="I292" s="106">
        <f>'Detailed Report'!AT288</f>
        <v>13.1397364</v>
      </c>
      <c r="J292" s="106">
        <f>'Detailed Report'!AO288</f>
        <v>7.4896500000000001</v>
      </c>
      <c r="K292" s="106">
        <f>'Detailed Report'!AP288</f>
        <v>1.048551</v>
      </c>
      <c r="L292" s="106">
        <f>'Detailed Report'!AU288/1.14</f>
        <v>0</v>
      </c>
      <c r="M292" s="106">
        <f>'Detailed Report'!AU288-L292</f>
        <v>0</v>
      </c>
      <c r="N292" s="110">
        <f>'Detailed Report'!AW288</f>
        <v>312.447</v>
      </c>
      <c r="O292" s="111">
        <f t="shared" si="50"/>
        <v>62.974049999999977</v>
      </c>
      <c r="P292" s="110">
        <f>'Detailed Report'!AM288</f>
        <v>0</v>
      </c>
      <c r="Q292" s="110">
        <f>'Detailed Report'!AN288</f>
        <v>0</v>
      </c>
      <c r="R292" s="110">
        <f>'Detailed Report'!AU288/1.14</f>
        <v>0</v>
      </c>
      <c r="S292" s="110">
        <f>'Detailed Report'!AU288-'........... - Otlob'!R292</f>
        <v>0</v>
      </c>
    </row>
    <row r="293" spans="1:19" ht="14.45" customHeight="1" x14ac:dyDescent="0.25">
      <c r="A293" s="105">
        <f>+IF(B293="","",SUBTOTAL(3,B$8:B293))</f>
        <v>286</v>
      </c>
      <c r="B293" s="106" t="str">
        <f>'Detailed Report'!O289</f>
        <v>Fuddruckers - Concord Plaza Mall</v>
      </c>
      <c r="C293" s="107">
        <f>TRUNC('Detailed Report'!Q289,0)</f>
        <v>46032</v>
      </c>
      <c r="D293" s="108">
        <f>'Detailed Report'!P289</f>
        <v>3392908430</v>
      </c>
      <c r="E293" s="106" t="str">
        <f>'Detailed Report'!S289</f>
        <v>Successful</v>
      </c>
      <c r="F293" s="109">
        <f>IF(E293=$E$6,('Detailed Report'!Y289),IF(E293=$E$5,(0),0))</f>
        <v>353.99</v>
      </c>
      <c r="G293" s="106">
        <f>IF(E293=$E$6,('Detailed Report'!AQ289),IF(E293=$E$5,('Detailed Report'!AW289),0))</f>
        <v>310.51754</v>
      </c>
      <c r="H293" s="106">
        <f>'Detailed Report'!AS289</f>
        <v>77.629390000000001</v>
      </c>
      <c r="I293" s="106">
        <f>'Detailed Report'!AT289</f>
        <v>10.8681146</v>
      </c>
      <c r="J293" s="106">
        <f>'Detailed Report'!AO289</f>
        <v>0</v>
      </c>
      <c r="K293" s="106">
        <f>'Detailed Report'!AP289</f>
        <v>0</v>
      </c>
      <c r="L293" s="106">
        <f>'Detailed Report'!AU289/1.14</f>
        <v>0</v>
      </c>
      <c r="M293" s="106">
        <f>'Detailed Report'!AU289-L293</f>
        <v>0</v>
      </c>
      <c r="N293" s="110">
        <f>'Detailed Report'!AW289</f>
        <v>231.292</v>
      </c>
      <c r="O293" s="111">
        <f t="shared" si="50"/>
        <v>79.225539999999995</v>
      </c>
      <c r="P293" s="110">
        <f>'Detailed Report'!AM289</f>
        <v>30</v>
      </c>
      <c r="Q293" s="110">
        <f>'Detailed Report'!AN289</f>
        <v>4.2</v>
      </c>
      <c r="R293" s="110">
        <f>'Detailed Report'!AU289/1.14</f>
        <v>0</v>
      </c>
      <c r="S293" s="110">
        <f>'Detailed Report'!AU289-'........... - Otlob'!R293</f>
        <v>0</v>
      </c>
    </row>
    <row r="294" spans="1:19" ht="14.45" customHeight="1" x14ac:dyDescent="0.25">
      <c r="A294" s="105">
        <f>+IF(B294="","",SUBTOTAL(3,B$8:B294))</f>
        <v>287</v>
      </c>
      <c r="B294" s="106" t="str">
        <f>'Detailed Report'!O290</f>
        <v>Fuddruckers - New Maadi</v>
      </c>
      <c r="C294" s="107">
        <f>TRUNC('Detailed Report'!Q290,0)</f>
        <v>46033</v>
      </c>
      <c r="D294" s="108">
        <f>'Detailed Report'!P290</f>
        <v>3393517792</v>
      </c>
      <c r="E294" s="106" t="str">
        <f>'Detailed Report'!S290</f>
        <v>Successful</v>
      </c>
      <c r="F294" s="109">
        <f>IF(E294=$E$6,('Detailed Report'!Y290),IF(E294=$E$5,(0),0))</f>
        <v>519.98</v>
      </c>
      <c r="G294" s="106">
        <f>IF(E294=$E$6,('Detailed Report'!AQ290),IF(E294=$E$5,('Detailed Report'!AW290),0))</f>
        <v>456.12281000000002</v>
      </c>
      <c r="H294" s="106">
        <f>'Detailed Report'!AS290</f>
        <v>114.0307</v>
      </c>
      <c r="I294" s="106">
        <f>'Detailed Report'!AT290</f>
        <v>15.964297999999999</v>
      </c>
      <c r="J294" s="106">
        <f>'Detailed Report'!AO290</f>
        <v>9.0996500000000005</v>
      </c>
      <c r="K294" s="106">
        <f>'Detailed Report'!AP290</f>
        <v>1.2739510000000001</v>
      </c>
      <c r="L294" s="106">
        <f>'Detailed Report'!AU290/1.14</f>
        <v>0</v>
      </c>
      <c r="M294" s="106">
        <f>'Detailed Report'!AU290-L294</f>
        <v>0</v>
      </c>
      <c r="N294" s="110">
        <f>'Detailed Report'!AW290</f>
        <v>345.411</v>
      </c>
      <c r="O294" s="111">
        <f t="shared" si="50"/>
        <v>110.71181000000001</v>
      </c>
      <c r="P294" s="110">
        <f>'Detailed Report'!AM290</f>
        <v>30</v>
      </c>
      <c r="Q294" s="110">
        <f>'Detailed Report'!AN290</f>
        <v>4.2</v>
      </c>
      <c r="R294" s="110">
        <f>'Detailed Report'!AU290/1.14</f>
        <v>0</v>
      </c>
      <c r="S294" s="110">
        <f>'Detailed Report'!AU290-'........... - Otlob'!R294</f>
        <v>0</v>
      </c>
    </row>
    <row r="295" spans="1:19" ht="14.45" customHeight="1" x14ac:dyDescent="0.25">
      <c r="A295" s="105">
        <f>+IF(B295="","",SUBTOTAL(3,B$8:B295))</f>
        <v>288</v>
      </c>
      <c r="B295" s="106" t="str">
        <f>'Detailed Report'!O291</f>
        <v>Fuddruckers - New Maadi</v>
      </c>
      <c r="C295" s="107">
        <f>TRUNC('Detailed Report'!Q291,0)</f>
        <v>46033</v>
      </c>
      <c r="D295" s="108">
        <f>'Detailed Report'!P291</f>
        <v>3393568856</v>
      </c>
      <c r="E295" s="106" t="str">
        <f>'Detailed Report'!S291</f>
        <v>Successful</v>
      </c>
      <c r="F295" s="109">
        <f>IF(E295=$E$6,('Detailed Report'!Y291),IF(E295=$E$5,(0),0))</f>
        <v>239.99</v>
      </c>
      <c r="G295" s="106">
        <f>IF(E295=$E$6,('Detailed Report'!AQ291),IF(E295=$E$5,('Detailed Report'!AW291),0))</f>
        <v>210.51754</v>
      </c>
      <c r="H295" s="106">
        <f>'Detailed Report'!AS291</f>
        <v>52.629390000000001</v>
      </c>
      <c r="I295" s="106">
        <f>'Detailed Report'!AT291</f>
        <v>7.3681146000000002</v>
      </c>
      <c r="J295" s="106">
        <f>'Detailed Report'!AO291</f>
        <v>4.1998249999999997</v>
      </c>
      <c r="K295" s="106">
        <f>'Detailed Report'!AP291</f>
        <v>0.58797549999999998</v>
      </c>
      <c r="L295" s="106">
        <f>'Detailed Report'!AU291/1.14</f>
        <v>24.55263157894737</v>
      </c>
      <c r="M295" s="106">
        <f>'Detailed Report'!AU291-L295</f>
        <v>3.4373684210526285</v>
      </c>
      <c r="N295" s="110">
        <f>'Detailed Report'!AW291</f>
        <v>113.015</v>
      </c>
      <c r="O295" s="111">
        <f t="shared" si="50"/>
        <v>97.502539999999996</v>
      </c>
      <c r="P295" s="110">
        <f>'Detailed Report'!AM291</f>
        <v>30</v>
      </c>
      <c r="Q295" s="110">
        <f>'Detailed Report'!AN291</f>
        <v>4.2</v>
      </c>
      <c r="R295" s="110">
        <f>'Detailed Report'!AU291/1.14</f>
        <v>24.55263157894737</v>
      </c>
      <c r="S295" s="110">
        <f>'Detailed Report'!AU291-'........... - Otlob'!R295</f>
        <v>3.4373684210526285</v>
      </c>
    </row>
    <row r="296" spans="1:19" ht="14.45" customHeight="1" x14ac:dyDescent="0.25">
      <c r="A296" s="105">
        <f>+IF(B296="","",SUBTOTAL(3,B$8:B296))</f>
        <v>289</v>
      </c>
      <c r="B296" s="106" t="str">
        <f>'Detailed Report'!O292</f>
        <v>Fuddruckers - New Maadi</v>
      </c>
      <c r="C296" s="107">
        <f>TRUNC('Detailed Report'!Q292,0)</f>
        <v>46033</v>
      </c>
      <c r="D296" s="108">
        <f>'Detailed Report'!P292</f>
        <v>3393638622</v>
      </c>
      <c r="E296" s="106" t="str">
        <f>'Detailed Report'!S292</f>
        <v>Successful</v>
      </c>
      <c r="F296" s="109">
        <f>IF(E296=$E$6,('Detailed Report'!Y292),IF(E296=$E$5,(0),0))</f>
        <v>295.99</v>
      </c>
      <c r="G296" s="106">
        <f>IF(E296=$E$6,('Detailed Report'!AQ292),IF(E296=$E$5,('Detailed Report'!AW292),0))</f>
        <v>259.64035000000001</v>
      </c>
      <c r="H296" s="106">
        <f>'Detailed Report'!AS292</f>
        <v>64.910089999999997</v>
      </c>
      <c r="I296" s="106">
        <f>'Detailed Report'!AT292</f>
        <v>9.0874126000000004</v>
      </c>
      <c r="J296" s="106">
        <f>'Detailed Report'!AO292</f>
        <v>0</v>
      </c>
      <c r="K296" s="106">
        <f>'Detailed Report'!AP292</f>
        <v>0</v>
      </c>
      <c r="L296" s="106">
        <f>'Detailed Report'!AU292/1.14</f>
        <v>0</v>
      </c>
      <c r="M296" s="106">
        <f>'Detailed Report'!AU292-L296</f>
        <v>0</v>
      </c>
      <c r="N296" s="110">
        <f>'Detailed Report'!AW292</f>
        <v>221.99199999999999</v>
      </c>
      <c r="O296" s="111">
        <f t="shared" si="50"/>
        <v>37.648350000000022</v>
      </c>
      <c r="P296" s="110">
        <f>'Detailed Report'!AM292</f>
        <v>0</v>
      </c>
      <c r="Q296" s="110">
        <f>'Detailed Report'!AN292</f>
        <v>0</v>
      </c>
      <c r="R296" s="110">
        <f>'Detailed Report'!AU292/1.14</f>
        <v>0</v>
      </c>
      <c r="S296" s="110">
        <f>'Detailed Report'!AU292-'........... - Otlob'!R296</f>
        <v>0</v>
      </c>
    </row>
    <row r="297" spans="1:19" ht="14.45" customHeight="1" x14ac:dyDescent="0.25">
      <c r="A297" s="105">
        <f>+IF(B297="","",SUBTOTAL(3,B$8:B297))</f>
        <v>290</v>
      </c>
      <c r="B297" s="106" t="str">
        <f>'Detailed Report'!O293</f>
        <v>Fuddruckers - New Maadi</v>
      </c>
      <c r="C297" s="107">
        <f>TRUNC('Detailed Report'!Q293,0)</f>
        <v>46033</v>
      </c>
      <c r="D297" s="108">
        <f>'Detailed Report'!P293</f>
        <v>3393684478</v>
      </c>
      <c r="E297" s="106" t="str">
        <f>'Detailed Report'!S293</f>
        <v>Successful</v>
      </c>
      <c r="F297" s="109">
        <f>IF(E297=$E$6,('Detailed Report'!Y293),IF(E297=$E$5,(0),0))</f>
        <v>266.99</v>
      </c>
      <c r="G297" s="106">
        <f>IF(E297=$E$6,('Detailed Report'!AQ293),IF(E297=$E$5,('Detailed Report'!AW293),0))</f>
        <v>234.20175</v>
      </c>
      <c r="H297" s="106">
        <f>'Detailed Report'!AS293</f>
        <v>58.550440000000002</v>
      </c>
      <c r="I297" s="106">
        <f>'Detailed Report'!AT293</f>
        <v>8.1970615999999996</v>
      </c>
      <c r="J297" s="106">
        <f>'Detailed Report'!AO293</f>
        <v>4.6723249999999998</v>
      </c>
      <c r="K297" s="106">
        <f>'Detailed Report'!AP293</f>
        <v>0.65412550000000003</v>
      </c>
      <c r="L297" s="106">
        <f>'Detailed Report'!AU293/1.14</f>
        <v>0</v>
      </c>
      <c r="M297" s="106">
        <f>'Detailed Report'!AU293-L297</f>
        <v>0</v>
      </c>
      <c r="N297" s="110">
        <f>'Detailed Report'!AW293</f>
        <v>194.916</v>
      </c>
      <c r="O297" s="111">
        <f t="shared" si="50"/>
        <v>39.285750000000007</v>
      </c>
      <c r="P297" s="110">
        <f>'Detailed Report'!AM293</f>
        <v>0</v>
      </c>
      <c r="Q297" s="110">
        <f>'Detailed Report'!AN293</f>
        <v>0</v>
      </c>
      <c r="R297" s="110">
        <f>'Detailed Report'!AU293/1.14</f>
        <v>0</v>
      </c>
      <c r="S297" s="110">
        <f>'Detailed Report'!AU293-'........... - Otlob'!R297</f>
        <v>0</v>
      </c>
    </row>
    <row r="298" spans="1:19" ht="14.45" customHeight="1" x14ac:dyDescent="0.25">
      <c r="A298" s="105">
        <f>+IF(B298="","",SUBTOTAL(3,B$8:B298))</f>
        <v>291</v>
      </c>
      <c r="B298" s="106" t="str">
        <f>'Detailed Report'!O294</f>
        <v>Fuddruckers - Concord Plaza Mall</v>
      </c>
      <c r="C298" s="107">
        <f>TRUNC('Detailed Report'!Q294,0)</f>
        <v>46033</v>
      </c>
      <c r="D298" s="108">
        <f>'Detailed Report'!P294</f>
        <v>3393735199</v>
      </c>
      <c r="E298" s="106" t="str">
        <f>'Detailed Report'!S294</f>
        <v>Successful</v>
      </c>
      <c r="F298" s="109">
        <f>IF(E298=$E$6,('Detailed Report'!Y294),IF(E298=$E$5,(0),0))</f>
        <v>1107.97</v>
      </c>
      <c r="G298" s="106">
        <f>IF(E298=$E$6,('Detailed Report'!AQ294),IF(E298=$E$5,('Detailed Report'!AW294),0))</f>
        <v>971.90350999999998</v>
      </c>
      <c r="H298" s="106">
        <f>'Detailed Report'!AS294</f>
        <v>242.97587999999999</v>
      </c>
      <c r="I298" s="106">
        <f>'Detailed Report'!AT294</f>
        <v>34.016623199999998</v>
      </c>
      <c r="J298" s="106">
        <f>'Detailed Report'!AO294</f>
        <v>19.389475000000001</v>
      </c>
      <c r="K298" s="106">
        <f>'Detailed Report'!AP294</f>
        <v>2.7145264999999998</v>
      </c>
      <c r="L298" s="106">
        <f>'Detailed Report'!AU294/1.14</f>
        <v>31.570175438596497</v>
      </c>
      <c r="M298" s="106">
        <f>'Detailed Report'!AU294-L298</f>
        <v>4.4198245614035052</v>
      </c>
      <c r="N298" s="110">
        <f>'Detailed Report'!AW294</f>
        <v>772.88300000000004</v>
      </c>
      <c r="O298" s="111">
        <f t="shared" si="50"/>
        <v>199.02050999999994</v>
      </c>
      <c r="P298" s="110">
        <f>'Detailed Report'!AM294</f>
        <v>0</v>
      </c>
      <c r="Q298" s="110">
        <f>'Detailed Report'!AN294</f>
        <v>0</v>
      </c>
      <c r="R298" s="110">
        <f>'Detailed Report'!AU294/1.14</f>
        <v>31.570175438596497</v>
      </c>
      <c r="S298" s="110">
        <f>'Detailed Report'!AU294-'........... - Otlob'!R298</f>
        <v>4.4198245614035052</v>
      </c>
    </row>
    <row r="299" spans="1:19" ht="14.45" customHeight="1" x14ac:dyDescent="0.25">
      <c r="A299" s="105">
        <f>+IF(B299="","",SUBTOTAL(3,B$8:B299))</f>
        <v>292</v>
      </c>
      <c r="B299" s="106" t="str">
        <f>'Detailed Report'!O295</f>
        <v>Fuddruckers - Concord Plaza Mall</v>
      </c>
      <c r="C299" s="107">
        <f>TRUNC('Detailed Report'!Q295,0)</f>
        <v>46033</v>
      </c>
      <c r="D299" s="108">
        <f>'Detailed Report'!P295</f>
        <v>3393740003</v>
      </c>
      <c r="E299" s="106" t="str">
        <f>'Detailed Report'!S295</f>
        <v>Successful</v>
      </c>
      <c r="F299" s="109">
        <f>IF(E299=$E$6,('Detailed Report'!Y295),IF(E299=$E$5,(0),0))</f>
        <v>774.97</v>
      </c>
      <c r="G299" s="106">
        <f>IF(E299=$E$6,('Detailed Report'!AQ295),IF(E299=$E$5,('Detailed Report'!AW295),0))</f>
        <v>679.79825000000005</v>
      </c>
      <c r="H299" s="106">
        <f>'Detailed Report'!AS295</f>
        <v>169.94955999999999</v>
      </c>
      <c r="I299" s="106">
        <f>'Detailed Report'!AT295</f>
        <v>23.792938400000001</v>
      </c>
      <c r="J299" s="106">
        <f>'Detailed Report'!AO295</f>
        <v>13.561975</v>
      </c>
      <c r="K299" s="106">
        <f>'Detailed Report'!AP295</f>
        <v>1.8986765000000001</v>
      </c>
      <c r="L299" s="106">
        <f>'Detailed Report'!AU295/1.14</f>
        <v>28.061403508771932</v>
      </c>
      <c r="M299" s="106">
        <f>'Detailed Report'!AU295-L299</f>
        <v>3.9285964912280669</v>
      </c>
      <c r="N299" s="110">
        <f>'Detailed Report'!AW295</f>
        <v>499.577</v>
      </c>
      <c r="O299" s="111">
        <f t="shared" si="50"/>
        <v>180.22125000000005</v>
      </c>
      <c r="P299" s="110">
        <f>'Detailed Report'!AM295</f>
        <v>30</v>
      </c>
      <c r="Q299" s="110">
        <f>'Detailed Report'!AN295</f>
        <v>4.2</v>
      </c>
      <c r="R299" s="110">
        <f>'Detailed Report'!AU295/1.14</f>
        <v>28.061403508771932</v>
      </c>
      <c r="S299" s="110">
        <f>'Detailed Report'!AU295-'........... - Otlob'!R299</f>
        <v>3.9285964912280669</v>
      </c>
    </row>
    <row r="300" spans="1:19" ht="14.45" customHeight="1" x14ac:dyDescent="0.25">
      <c r="A300" s="105">
        <f>+IF(B300="","",SUBTOTAL(3,B$8:B300))</f>
        <v>293</v>
      </c>
      <c r="B300" s="106" t="str">
        <f>'Detailed Report'!O296</f>
        <v>Fuddruckers - Concord Plaza Mall</v>
      </c>
      <c r="C300" s="107">
        <f>TRUNC('Detailed Report'!Q296,0)</f>
        <v>46033</v>
      </c>
      <c r="D300" s="108">
        <f>'Detailed Report'!P296</f>
        <v>3393755393</v>
      </c>
      <c r="E300" s="106" t="str">
        <f>'Detailed Report'!S296</f>
        <v>Successful</v>
      </c>
      <c r="F300" s="109">
        <f>IF(E300=$E$6,('Detailed Report'!Y296),IF(E300=$E$5,(0),0))</f>
        <v>1062.17</v>
      </c>
      <c r="G300" s="106">
        <f>IF(E300=$E$6,('Detailed Report'!AQ296),IF(E300=$E$5,('Detailed Report'!AW296),0))</f>
        <v>931.72807</v>
      </c>
      <c r="H300" s="106">
        <f>'Detailed Report'!AS296</f>
        <v>232.93201999999999</v>
      </c>
      <c r="I300" s="106">
        <f>'Detailed Report'!AT296</f>
        <v>32.6104828</v>
      </c>
      <c r="J300" s="106">
        <f>'Detailed Report'!AO296</f>
        <v>18.587975</v>
      </c>
      <c r="K300" s="106">
        <f>'Detailed Report'!AP296</f>
        <v>2.6023165000000001</v>
      </c>
      <c r="L300" s="106">
        <f>'Detailed Report'!AU296/1.14</f>
        <v>29.815789473684216</v>
      </c>
      <c r="M300" s="106">
        <f>'Detailed Report'!AU296-L300</f>
        <v>4.174210526315786</v>
      </c>
      <c r="N300" s="110">
        <f>'Detailed Report'!AW296</f>
        <v>741.447</v>
      </c>
      <c r="O300" s="111">
        <f t="shared" si="50"/>
        <v>190.28107</v>
      </c>
      <c r="P300" s="110">
        <f>'Detailed Report'!AM296</f>
        <v>0</v>
      </c>
      <c r="Q300" s="110">
        <f>'Detailed Report'!AN296</f>
        <v>0</v>
      </c>
      <c r="R300" s="110">
        <f>'Detailed Report'!AU296/1.14</f>
        <v>29.815789473684216</v>
      </c>
      <c r="S300" s="110">
        <f>'Detailed Report'!AU296-'........... - Otlob'!R300</f>
        <v>4.174210526315786</v>
      </c>
    </row>
    <row r="301" spans="1:19" ht="14.45" customHeight="1" x14ac:dyDescent="0.25">
      <c r="A301" s="105">
        <f>+IF(B301="","",SUBTOTAL(3,B$8:B301))</f>
        <v>294</v>
      </c>
      <c r="B301" s="106" t="str">
        <f>'Detailed Report'!O297</f>
        <v>Fuddruckers - New Maadi</v>
      </c>
      <c r="C301" s="107">
        <f>TRUNC('Detailed Report'!Q297,0)</f>
        <v>46033</v>
      </c>
      <c r="D301" s="108">
        <f>'Detailed Report'!P297</f>
        <v>3393909781</v>
      </c>
      <c r="E301" s="106" t="str">
        <f>'Detailed Report'!S297</f>
        <v>Successful</v>
      </c>
      <c r="F301" s="109">
        <f>IF(E301=$E$6,('Detailed Report'!Y297),IF(E301=$E$5,(0),0))</f>
        <v>771.97</v>
      </c>
      <c r="G301" s="106">
        <f>IF(E301=$E$6,('Detailed Report'!AQ297),IF(E301=$E$5,('Detailed Report'!AW297),0))</f>
        <v>677.16666999999995</v>
      </c>
      <c r="H301" s="106">
        <f>'Detailed Report'!AS297</f>
        <v>169.29167000000001</v>
      </c>
      <c r="I301" s="106">
        <f>'Detailed Report'!AT297</f>
        <v>23.700833800000002</v>
      </c>
      <c r="J301" s="106">
        <f>'Detailed Report'!AO297</f>
        <v>0</v>
      </c>
      <c r="K301" s="106">
        <f>'Detailed Report'!AP297</f>
        <v>0</v>
      </c>
      <c r="L301" s="106">
        <f>'Detailed Report'!AU297/1.14</f>
        <v>0</v>
      </c>
      <c r="M301" s="106">
        <f>'Detailed Report'!AU297-L301</f>
        <v>0</v>
      </c>
      <c r="N301" s="110">
        <f>'Detailed Report'!AW297</f>
        <v>578.97699999999998</v>
      </c>
      <c r="O301" s="111">
        <f t="shared" si="50"/>
        <v>98.189669999999978</v>
      </c>
      <c r="P301" s="110">
        <f>'Detailed Report'!AM297</f>
        <v>0</v>
      </c>
      <c r="Q301" s="110">
        <f>'Detailed Report'!AN297</f>
        <v>0</v>
      </c>
      <c r="R301" s="110">
        <f>'Detailed Report'!AU297/1.14</f>
        <v>0</v>
      </c>
      <c r="S301" s="110">
        <f>'Detailed Report'!AU297-'........... - Otlob'!R301</f>
        <v>0</v>
      </c>
    </row>
    <row r="302" spans="1:19" ht="14.45" customHeight="1" x14ac:dyDescent="0.25">
      <c r="A302" s="105">
        <f>+IF(B302="","",SUBTOTAL(3,B$8:B302))</f>
        <v>295</v>
      </c>
      <c r="B302" s="106" t="str">
        <f>'Detailed Report'!O298</f>
        <v>Fuddruckers - Concord Plaza Mall</v>
      </c>
      <c r="C302" s="107">
        <f>TRUNC('Detailed Report'!Q298,0)</f>
        <v>46033</v>
      </c>
      <c r="D302" s="108">
        <f>'Detailed Report'!P298</f>
        <v>3393934828</v>
      </c>
      <c r="E302" s="106" t="str">
        <f>'Detailed Report'!S298</f>
        <v>Successful</v>
      </c>
      <c r="F302" s="109">
        <f>IF(E302=$E$6,('Detailed Report'!Y298),IF(E302=$E$5,(0),0))</f>
        <v>429.99</v>
      </c>
      <c r="G302" s="106">
        <f>IF(E302=$E$6,('Detailed Report'!AQ298),IF(E302=$E$5,('Detailed Report'!AW298),0))</f>
        <v>377.18421000000001</v>
      </c>
      <c r="H302" s="106">
        <f>'Detailed Report'!AS298</f>
        <v>94.296049999999994</v>
      </c>
      <c r="I302" s="106">
        <f>'Detailed Report'!AT298</f>
        <v>13.201447</v>
      </c>
      <c r="J302" s="106">
        <f>'Detailed Report'!AO298</f>
        <v>7.5248249999999999</v>
      </c>
      <c r="K302" s="106">
        <f>'Detailed Report'!AP298</f>
        <v>1.0534755</v>
      </c>
      <c r="L302" s="106">
        <f>'Detailed Report'!AU298/1.14</f>
        <v>0</v>
      </c>
      <c r="M302" s="106">
        <f>'Detailed Report'!AU298-L302</f>
        <v>0</v>
      </c>
      <c r="N302" s="110">
        <f>'Detailed Report'!AW298</f>
        <v>313.91399999999999</v>
      </c>
      <c r="O302" s="111">
        <f t="shared" si="50"/>
        <v>63.27021000000002</v>
      </c>
      <c r="P302" s="110">
        <f>'Detailed Report'!AM298</f>
        <v>0</v>
      </c>
      <c r="Q302" s="110">
        <f>'Detailed Report'!AN298</f>
        <v>0</v>
      </c>
      <c r="R302" s="110">
        <f>'Detailed Report'!AU298/1.14</f>
        <v>0</v>
      </c>
      <c r="S302" s="110">
        <f>'Detailed Report'!AU298-'........... - Otlob'!R302</f>
        <v>0</v>
      </c>
    </row>
    <row r="303" spans="1:19" ht="14.45" customHeight="1" x14ac:dyDescent="0.25">
      <c r="A303" s="105">
        <f>+IF(B303="","",SUBTOTAL(3,B$8:B303))</f>
        <v>296</v>
      </c>
      <c r="B303" s="106" t="str">
        <f>'Detailed Report'!O299</f>
        <v>Fuddruckers - New Maadi</v>
      </c>
      <c r="C303" s="107">
        <f>TRUNC('Detailed Report'!Q299,0)</f>
        <v>46033</v>
      </c>
      <c r="D303" s="108">
        <f>'Detailed Report'!P299</f>
        <v>3393947540</v>
      </c>
      <c r="E303" s="106" t="str">
        <f>'Detailed Report'!S299</f>
        <v>Successful</v>
      </c>
      <c r="F303" s="109">
        <f>IF(E303=$E$6,('Detailed Report'!Y299),IF(E303=$E$5,(0),0))</f>
        <v>352</v>
      </c>
      <c r="G303" s="106">
        <f>IF(E303=$E$6,('Detailed Report'!AQ299),IF(E303=$E$5,('Detailed Report'!AW299),0))</f>
        <v>308.77193</v>
      </c>
      <c r="H303" s="106">
        <f>'Detailed Report'!AS299</f>
        <v>77.192980000000006</v>
      </c>
      <c r="I303" s="106">
        <f>'Detailed Report'!AT299</f>
        <v>10.807017200000001</v>
      </c>
      <c r="J303" s="106">
        <f>'Detailed Report'!AO299</f>
        <v>6.16</v>
      </c>
      <c r="K303" s="106">
        <f>'Detailed Report'!AP299</f>
        <v>0.86240000000000006</v>
      </c>
      <c r="L303" s="106">
        <f>'Detailed Report'!AU299/1.14</f>
        <v>24.55263157894737</v>
      </c>
      <c r="M303" s="106">
        <f>'Detailed Report'!AU299-L303</f>
        <v>3.4373684210526285</v>
      </c>
      <c r="N303" s="110">
        <f>'Detailed Report'!AW299</f>
        <v>228.988</v>
      </c>
      <c r="O303" s="111">
        <f t="shared" si="50"/>
        <v>79.783929999999998</v>
      </c>
      <c r="P303" s="110">
        <f>'Detailed Report'!AM299</f>
        <v>0</v>
      </c>
      <c r="Q303" s="110">
        <f>'Detailed Report'!AN299</f>
        <v>0</v>
      </c>
      <c r="R303" s="110">
        <f>'Detailed Report'!AU299/1.14</f>
        <v>24.55263157894737</v>
      </c>
      <c r="S303" s="110">
        <f>'Detailed Report'!AU299-'........... - Otlob'!R303</f>
        <v>3.4373684210526285</v>
      </c>
    </row>
    <row r="304" spans="1:19" ht="14.45" customHeight="1" x14ac:dyDescent="0.25">
      <c r="A304" s="105">
        <f>+IF(B304="","",SUBTOTAL(3,B$8:B304))</f>
        <v>297</v>
      </c>
      <c r="B304" s="106" t="str">
        <f>'Detailed Report'!O300</f>
        <v>Fuddruckers - New Maadi</v>
      </c>
      <c r="C304" s="107">
        <f>TRUNC('Detailed Report'!Q300,0)</f>
        <v>46033</v>
      </c>
      <c r="D304" s="108">
        <f>'Detailed Report'!P300</f>
        <v>3394028346</v>
      </c>
      <c r="E304" s="106" t="str">
        <f>'Detailed Report'!S300</f>
        <v>Successful</v>
      </c>
      <c r="F304" s="109">
        <f>IF(E304=$E$6,('Detailed Report'!Y300),IF(E304=$E$5,(0),0))</f>
        <v>699.97</v>
      </c>
      <c r="G304" s="106">
        <f>IF(E304=$E$6,('Detailed Report'!AQ300),IF(E304=$E$5,('Detailed Report'!AW300),0))</f>
        <v>614.00877000000003</v>
      </c>
      <c r="H304" s="106">
        <f>'Detailed Report'!AS300</f>
        <v>153.50219000000001</v>
      </c>
      <c r="I304" s="106">
        <f>'Detailed Report'!AT300</f>
        <v>21.4903066</v>
      </c>
      <c r="J304" s="106">
        <f>'Detailed Report'!AO300</f>
        <v>12.249475</v>
      </c>
      <c r="K304" s="106">
        <f>'Detailed Report'!AP300</f>
        <v>1.7149265</v>
      </c>
      <c r="L304" s="106">
        <f>'Detailed Report'!AU300/1.14</f>
        <v>0</v>
      </c>
      <c r="M304" s="106">
        <f>'Detailed Report'!AU300-L304</f>
        <v>0</v>
      </c>
      <c r="N304" s="110">
        <f>'Detailed Report'!AW300</f>
        <v>511.01299999999998</v>
      </c>
      <c r="O304" s="111">
        <f t="shared" si="50"/>
        <v>102.99577000000005</v>
      </c>
      <c r="P304" s="110">
        <f>'Detailed Report'!AM300</f>
        <v>0</v>
      </c>
      <c r="Q304" s="110">
        <f>'Detailed Report'!AN300</f>
        <v>0</v>
      </c>
      <c r="R304" s="110">
        <f>'Detailed Report'!AU300/1.14</f>
        <v>0</v>
      </c>
      <c r="S304" s="110">
        <f>'Detailed Report'!AU300-'........... - Otlob'!R304</f>
        <v>0</v>
      </c>
    </row>
    <row r="305" spans="1:19" ht="14.45" customHeight="1" x14ac:dyDescent="0.25">
      <c r="A305" s="105">
        <f>+IF(B305="","",SUBTOTAL(3,B$8:B305))</f>
        <v>298</v>
      </c>
      <c r="B305" s="106" t="str">
        <f>'Detailed Report'!O301</f>
        <v>Fuddruckers - City Stars</v>
      </c>
      <c r="C305" s="107">
        <f>TRUNC('Detailed Report'!Q301,0)</f>
        <v>46033</v>
      </c>
      <c r="D305" s="108">
        <f>'Detailed Report'!P301</f>
        <v>3394074435</v>
      </c>
      <c r="E305" s="106" t="str">
        <f>'Detailed Report'!S301</f>
        <v>Successful</v>
      </c>
      <c r="F305" s="109">
        <f>IF(E305=$E$6,('Detailed Report'!Y301),IF(E305=$E$5,(0),0))</f>
        <v>691.99</v>
      </c>
      <c r="G305" s="106">
        <f>IF(E305=$E$6,('Detailed Report'!AQ301),IF(E305=$E$5,('Detailed Report'!AW301),0))</f>
        <v>607.00877000000003</v>
      </c>
      <c r="H305" s="106">
        <f>'Detailed Report'!AS301</f>
        <v>151.75219000000001</v>
      </c>
      <c r="I305" s="106">
        <f>'Detailed Report'!AT301</f>
        <v>21.245306599999999</v>
      </c>
      <c r="J305" s="106">
        <f>'Detailed Report'!AO301</f>
        <v>0</v>
      </c>
      <c r="K305" s="106">
        <f>'Detailed Report'!AP301</f>
        <v>0</v>
      </c>
      <c r="L305" s="106">
        <f>'Detailed Report'!AU301/1.14</f>
        <v>0</v>
      </c>
      <c r="M305" s="106">
        <f>'Detailed Report'!AU301-L305</f>
        <v>0</v>
      </c>
      <c r="N305" s="110">
        <f>'Detailed Report'!AW301</f>
        <v>518.99300000000005</v>
      </c>
      <c r="O305" s="111">
        <f t="shared" si="50"/>
        <v>88.015769999999975</v>
      </c>
      <c r="P305" s="110">
        <f>'Detailed Report'!AM301</f>
        <v>0</v>
      </c>
      <c r="Q305" s="110">
        <f>'Detailed Report'!AN301</f>
        <v>0</v>
      </c>
      <c r="R305" s="110">
        <f>'Detailed Report'!AU301/1.14</f>
        <v>0</v>
      </c>
      <c r="S305" s="110">
        <f>'Detailed Report'!AU301-'........... - Otlob'!R305</f>
        <v>0</v>
      </c>
    </row>
    <row r="306" spans="1:19" ht="14.45" customHeight="1" x14ac:dyDescent="0.25">
      <c r="A306" s="105">
        <f>+IF(B306="","",SUBTOTAL(3,B$8:B306))</f>
        <v>299</v>
      </c>
      <c r="B306" s="106" t="str">
        <f>'Detailed Report'!O302</f>
        <v>Fuddruckers - Concord Plaza Mall</v>
      </c>
      <c r="C306" s="107">
        <f>TRUNC('Detailed Report'!Q302,0)</f>
        <v>46033</v>
      </c>
      <c r="D306" s="108">
        <f>'Detailed Report'!P302</f>
        <v>3394107356</v>
      </c>
      <c r="E306" s="106" t="str">
        <f>'Detailed Report'!S302</f>
        <v>Successful</v>
      </c>
      <c r="F306" s="109">
        <f>IF(E306=$E$6,('Detailed Report'!Y302),IF(E306=$E$5,(0),0))</f>
        <v>859.98</v>
      </c>
      <c r="G306" s="106">
        <f>IF(E306=$E$6,('Detailed Report'!AQ302),IF(E306=$E$5,('Detailed Report'!AW302),0))</f>
        <v>754.36842000000001</v>
      </c>
      <c r="H306" s="106">
        <f>'Detailed Report'!AS302</f>
        <v>188.59210999999999</v>
      </c>
      <c r="I306" s="106">
        <f>'Detailed Report'!AT302</f>
        <v>26.402895399999998</v>
      </c>
      <c r="J306" s="106">
        <f>'Detailed Report'!AO302</f>
        <v>15.0497025</v>
      </c>
      <c r="K306" s="106">
        <f>'Detailed Report'!AP302</f>
        <v>2.1069583500000002</v>
      </c>
      <c r="L306" s="106">
        <f>'Detailed Report'!AU302/1.14</f>
        <v>0</v>
      </c>
      <c r="M306" s="106">
        <f>'Detailed Report'!AU302-L306</f>
        <v>0</v>
      </c>
      <c r="N306" s="110">
        <f>'Detailed Report'!AW302</f>
        <v>627.82799999999997</v>
      </c>
      <c r="O306" s="111">
        <f t="shared" si="50"/>
        <v>126.54042000000004</v>
      </c>
      <c r="P306" s="110">
        <f>'Detailed Report'!AM302</f>
        <v>0</v>
      </c>
      <c r="Q306" s="110">
        <f>'Detailed Report'!AN302</f>
        <v>0</v>
      </c>
      <c r="R306" s="110">
        <f>'Detailed Report'!AU302/1.14</f>
        <v>0</v>
      </c>
      <c r="S306" s="110">
        <f>'Detailed Report'!AU302-'........... - Otlob'!R306</f>
        <v>0</v>
      </c>
    </row>
    <row r="307" spans="1:19" ht="14.45" customHeight="1" x14ac:dyDescent="0.25">
      <c r="A307" s="105">
        <f>+IF(B307="","",SUBTOTAL(3,B$8:B307))</f>
        <v>300</v>
      </c>
      <c r="B307" s="106" t="str">
        <f>'Detailed Report'!O303</f>
        <v>Fuddruckers - City Stars</v>
      </c>
      <c r="C307" s="107">
        <f>TRUNC('Detailed Report'!Q303,0)</f>
        <v>46033</v>
      </c>
      <c r="D307" s="108">
        <f>'Detailed Report'!P303</f>
        <v>3394129828</v>
      </c>
      <c r="E307" s="106" t="str">
        <f>'Detailed Report'!S303</f>
        <v>Successful</v>
      </c>
      <c r="F307" s="109">
        <f>IF(E307=$E$6,('Detailed Report'!Y303),IF(E307=$E$5,(0),0))</f>
        <v>329</v>
      </c>
      <c r="G307" s="106">
        <f>IF(E307=$E$6,('Detailed Report'!AQ303),IF(E307=$E$5,('Detailed Report'!AW303),0))</f>
        <v>288.59649000000002</v>
      </c>
      <c r="H307" s="106">
        <f>'Detailed Report'!AS303</f>
        <v>72.149119999999996</v>
      </c>
      <c r="I307" s="106">
        <f>'Detailed Report'!AT303</f>
        <v>10.1008768</v>
      </c>
      <c r="J307" s="106">
        <f>'Detailed Report'!AO303</f>
        <v>5.7575000000000003</v>
      </c>
      <c r="K307" s="106">
        <f>'Detailed Report'!AP303</f>
        <v>0.80605000000000004</v>
      </c>
      <c r="L307" s="106">
        <f>'Detailed Report'!AU303/1.14</f>
        <v>25.42982456140351</v>
      </c>
      <c r="M307" s="106">
        <f>'Detailed Report'!AU303-L307</f>
        <v>3.5601754385964881</v>
      </c>
      <c r="N307" s="110">
        <f>'Detailed Report'!AW303</f>
        <v>211.196</v>
      </c>
      <c r="O307" s="111">
        <f t="shared" si="50"/>
        <v>77.400490000000019</v>
      </c>
      <c r="P307" s="110">
        <f>'Detailed Report'!AM303</f>
        <v>0</v>
      </c>
      <c r="Q307" s="110">
        <f>'Detailed Report'!AN303</f>
        <v>0</v>
      </c>
      <c r="R307" s="110">
        <f>'Detailed Report'!AU303/1.14</f>
        <v>25.42982456140351</v>
      </c>
      <c r="S307" s="110">
        <f>'Detailed Report'!AU303-'........... - Otlob'!R307</f>
        <v>3.5601754385964881</v>
      </c>
    </row>
    <row r="308" spans="1:19" ht="14.45" customHeight="1" x14ac:dyDescent="0.25">
      <c r="A308" s="105">
        <f>+IF(B308="","",SUBTOTAL(3,B$8:B308))</f>
        <v>301</v>
      </c>
      <c r="B308" s="106" t="str">
        <f>'Detailed Report'!O304</f>
        <v>Fuddruckers - New Maadi</v>
      </c>
      <c r="C308" s="107">
        <f>TRUNC('Detailed Report'!Q304,0)</f>
        <v>46033</v>
      </c>
      <c r="D308" s="108">
        <f>'Detailed Report'!P304</f>
        <v>3394135685</v>
      </c>
      <c r="E308" s="106" t="str">
        <f>'Detailed Report'!S304</f>
        <v>Successful</v>
      </c>
      <c r="F308" s="109">
        <f>IF(E308=$E$6,('Detailed Report'!Y304),IF(E308=$E$5,(0),0))</f>
        <v>319.99</v>
      </c>
      <c r="G308" s="106">
        <f>IF(E308=$E$6,('Detailed Report'!AQ304),IF(E308=$E$5,('Detailed Report'!AW304),0))</f>
        <v>280.69297999999998</v>
      </c>
      <c r="H308" s="106">
        <f>'Detailed Report'!AS304</f>
        <v>70.173249999999996</v>
      </c>
      <c r="I308" s="106">
        <f>'Detailed Report'!AT304</f>
        <v>9.8242550000000008</v>
      </c>
      <c r="J308" s="106">
        <f>'Detailed Report'!AO304</f>
        <v>5.5998250000000001</v>
      </c>
      <c r="K308" s="106">
        <f>'Detailed Report'!AP304</f>
        <v>0.78397550000000005</v>
      </c>
      <c r="L308" s="106">
        <f>'Detailed Report'!AU304/1.14</f>
        <v>24.55263157894737</v>
      </c>
      <c r="M308" s="106">
        <f>'Detailed Report'!AU304-L308</f>
        <v>3.4373684210526285</v>
      </c>
      <c r="N308" s="110">
        <f>'Detailed Report'!AW304</f>
        <v>205.619</v>
      </c>
      <c r="O308" s="111">
        <f t="shared" si="50"/>
        <v>75.073979999999978</v>
      </c>
      <c r="P308" s="110">
        <f>'Detailed Report'!AM304</f>
        <v>0</v>
      </c>
      <c r="Q308" s="110">
        <f>'Detailed Report'!AN304</f>
        <v>0</v>
      </c>
      <c r="R308" s="110">
        <f>'Detailed Report'!AU304/1.14</f>
        <v>24.55263157894737</v>
      </c>
      <c r="S308" s="110">
        <f>'Detailed Report'!AU304-'........... - Otlob'!R308</f>
        <v>3.4373684210526285</v>
      </c>
    </row>
    <row r="309" spans="1:19" ht="14.45" customHeight="1" x14ac:dyDescent="0.25">
      <c r="A309" s="105">
        <f>+IF(B309="","",SUBTOTAL(3,B$8:B309))</f>
        <v>302</v>
      </c>
      <c r="B309" s="106" t="str">
        <f>'Detailed Report'!O305</f>
        <v>Fuddruckers - Concord Plaza Mall</v>
      </c>
      <c r="C309" s="107">
        <f>TRUNC('Detailed Report'!Q305,0)</f>
        <v>46033</v>
      </c>
      <c r="D309" s="108">
        <f>'Detailed Report'!P305</f>
        <v>3394173771</v>
      </c>
      <c r="E309" s="106" t="str">
        <f>'Detailed Report'!S305</f>
        <v>Successful</v>
      </c>
      <c r="F309" s="109">
        <f>IF(E309=$E$6,('Detailed Report'!Y305),IF(E309=$E$5,(0),0))</f>
        <v>845.51</v>
      </c>
      <c r="G309" s="106">
        <f>IF(E309=$E$6,('Detailed Report'!AQ305),IF(E309=$E$5,('Detailed Report'!AW305),0))</f>
        <v>741.67543999999998</v>
      </c>
      <c r="H309" s="106">
        <f>'Detailed Report'!AS305</f>
        <v>185.41886</v>
      </c>
      <c r="I309" s="106">
        <f>'Detailed Report'!AT305</f>
        <v>25.9586404</v>
      </c>
      <c r="J309" s="106">
        <f>'Detailed Report'!AO305</f>
        <v>14.796424999999999</v>
      </c>
      <c r="K309" s="106">
        <f>'Detailed Report'!AP305</f>
        <v>2.0714994999999998</v>
      </c>
      <c r="L309" s="106">
        <f>'Detailed Report'!AU305/1.14</f>
        <v>31.570175438596497</v>
      </c>
      <c r="M309" s="106">
        <f>'Detailed Report'!AU305-L309</f>
        <v>4.4198245614035052</v>
      </c>
      <c r="N309" s="110">
        <f>'Detailed Report'!AW305</f>
        <v>581.27499999999998</v>
      </c>
      <c r="O309" s="111">
        <f t="shared" si="50"/>
        <v>160.40044</v>
      </c>
      <c r="P309" s="110">
        <f>'Detailed Report'!AM305</f>
        <v>0</v>
      </c>
      <c r="Q309" s="110">
        <f>'Detailed Report'!AN305</f>
        <v>0</v>
      </c>
      <c r="R309" s="110">
        <f>'Detailed Report'!AU305/1.14</f>
        <v>31.570175438596497</v>
      </c>
      <c r="S309" s="110">
        <f>'Detailed Report'!AU305-'........... - Otlob'!R309</f>
        <v>4.4198245614035052</v>
      </c>
    </row>
    <row r="310" spans="1:19" ht="14.45" customHeight="1" x14ac:dyDescent="0.25">
      <c r="A310" s="105">
        <f>+IF(B310="","",SUBTOTAL(3,B$8:B310))</f>
        <v>303</v>
      </c>
      <c r="B310" s="106" t="str">
        <f>'Detailed Report'!O306</f>
        <v>Fuddruckers - City Stars</v>
      </c>
      <c r="C310" s="107">
        <f>TRUNC('Detailed Report'!Q306,0)</f>
        <v>46033</v>
      </c>
      <c r="D310" s="108">
        <f>'Detailed Report'!P306</f>
        <v>3394187712</v>
      </c>
      <c r="E310" s="106" t="str">
        <f>'Detailed Report'!S306</f>
        <v>Successful</v>
      </c>
      <c r="F310" s="109">
        <f>IF(E310=$E$6,('Detailed Report'!Y306),IF(E310=$E$5,(0),0))</f>
        <v>400.98</v>
      </c>
      <c r="G310" s="106">
        <f>IF(E310=$E$6,('Detailed Report'!AQ306),IF(E310=$E$5,('Detailed Report'!AW306),0))</f>
        <v>351.73683999999997</v>
      </c>
      <c r="H310" s="106">
        <f>'Detailed Report'!AS306</f>
        <v>87.934209999999993</v>
      </c>
      <c r="I310" s="106">
        <f>'Detailed Report'!AT306</f>
        <v>12.310789400000001</v>
      </c>
      <c r="J310" s="106">
        <f>'Detailed Report'!AO306</f>
        <v>7.01715</v>
      </c>
      <c r="K310" s="106">
        <f>'Detailed Report'!AP306</f>
        <v>0.98240099999999997</v>
      </c>
      <c r="L310" s="106">
        <f>'Detailed Report'!AU306/1.14</f>
        <v>27.184210526315791</v>
      </c>
      <c r="M310" s="106">
        <f>'Detailed Report'!AU306-L310</f>
        <v>3.8057894736842073</v>
      </c>
      <c r="N310" s="110">
        <f>'Detailed Report'!AW306</f>
        <v>261.745</v>
      </c>
      <c r="O310" s="111">
        <f t="shared" si="50"/>
        <v>89.991839999999968</v>
      </c>
      <c r="P310" s="110">
        <f>'Detailed Report'!AM306</f>
        <v>0</v>
      </c>
      <c r="Q310" s="110">
        <f>'Detailed Report'!AN306</f>
        <v>0</v>
      </c>
      <c r="R310" s="110">
        <f>'Detailed Report'!AU306/1.14</f>
        <v>27.184210526315791</v>
      </c>
      <c r="S310" s="110">
        <f>'Detailed Report'!AU306-'........... - Otlob'!R310</f>
        <v>3.8057894736842073</v>
      </c>
    </row>
    <row r="311" spans="1:19" ht="14.45" customHeight="1" x14ac:dyDescent="0.25">
      <c r="A311" s="105">
        <f>+IF(B311="","",SUBTOTAL(3,B$8:B311))</f>
        <v>304</v>
      </c>
      <c r="B311" s="106" t="str">
        <f>'Detailed Report'!O307</f>
        <v>Fuddruckers - Concord Plaza Mall</v>
      </c>
      <c r="C311" s="107">
        <f>TRUNC('Detailed Report'!Q307,0)</f>
        <v>46033</v>
      </c>
      <c r="D311" s="108">
        <f>'Detailed Report'!P307</f>
        <v>3394190841</v>
      </c>
      <c r="E311" s="106" t="str">
        <f>'Detailed Report'!S307</f>
        <v>Successful</v>
      </c>
      <c r="F311" s="109">
        <f>IF(E311=$E$6,('Detailed Report'!Y307),IF(E311=$E$5,(0),0))</f>
        <v>1844.06</v>
      </c>
      <c r="G311" s="106">
        <f>IF(E311=$E$6,('Detailed Report'!AQ307),IF(E311=$E$5,('Detailed Report'!AW307),0))</f>
        <v>1617.5964899999999</v>
      </c>
      <c r="H311" s="106">
        <f>'Detailed Report'!AS307</f>
        <v>404.39911999999998</v>
      </c>
      <c r="I311" s="106">
        <f>'Detailed Report'!AT307</f>
        <v>56.615876800000002</v>
      </c>
      <c r="J311" s="106">
        <f>'Detailed Report'!AO307</f>
        <v>32.271050000000002</v>
      </c>
      <c r="K311" s="106">
        <f>'Detailed Report'!AP307</f>
        <v>4.5179470000000004</v>
      </c>
      <c r="L311" s="106">
        <f>'Detailed Report'!AU307/1.14</f>
        <v>0</v>
      </c>
      <c r="M311" s="106">
        <f>'Detailed Report'!AU307-L311</f>
        <v>0</v>
      </c>
      <c r="N311" s="110">
        <f>'Detailed Report'!AW307</f>
        <v>1346.2560000000001</v>
      </c>
      <c r="O311" s="111">
        <f t="shared" si="50"/>
        <v>271.34048999999982</v>
      </c>
      <c r="P311" s="110">
        <f>'Detailed Report'!AM307</f>
        <v>0</v>
      </c>
      <c r="Q311" s="110">
        <f>'Detailed Report'!AN307</f>
        <v>0</v>
      </c>
      <c r="R311" s="110">
        <f>'Detailed Report'!AU307/1.14</f>
        <v>0</v>
      </c>
      <c r="S311" s="110">
        <f>'Detailed Report'!AU307-'........... - Otlob'!R311</f>
        <v>0</v>
      </c>
    </row>
    <row r="312" spans="1:19" ht="14.45" customHeight="1" x14ac:dyDescent="0.25">
      <c r="A312" s="105">
        <f>+IF(B312="","",SUBTOTAL(3,B$8:B312))</f>
        <v>305</v>
      </c>
      <c r="B312" s="106" t="str">
        <f>'Detailed Report'!O308</f>
        <v>Fuddruckers - New Maadi</v>
      </c>
      <c r="C312" s="107">
        <f>TRUNC('Detailed Report'!Q308,0)</f>
        <v>46033</v>
      </c>
      <c r="D312" s="108">
        <f>'Detailed Report'!P308</f>
        <v>3394264138</v>
      </c>
      <c r="E312" s="106" t="str">
        <f>'Detailed Report'!S308</f>
        <v>Successful</v>
      </c>
      <c r="F312" s="109">
        <f>IF(E312=$E$6,('Detailed Report'!Y308),IF(E312=$E$5,(0),0))</f>
        <v>266.99</v>
      </c>
      <c r="G312" s="106">
        <f>IF(E312=$E$6,('Detailed Report'!AQ308),IF(E312=$E$5,('Detailed Report'!AW308),0))</f>
        <v>234.20175</v>
      </c>
      <c r="H312" s="106">
        <f>'Detailed Report'!AS308</f>
        <v>58.550440000000002</v>
      </c>
      <c r="I312" s="106">
        <f>'Detailed Report'!AT308</f>
        <v>8.1970615999999996</v>
      </c>
      <c r="J312" s="106">
        <f>'Detailed Report'!AO308</f>
        <v>0</v>
      </c>
      <c r="K312" s="106">
        <f>'Detailed Report'!AP308</f>
        <v>0</v>
      </c>
      <c r="L312" s="106">
        <f>'Detailed Report'!AU308/1.14</f>
        <v>24.55263157894737</v>
      </c>
      <c r="M312" s="106">
        <f>'Detailed Report'!AU308-L312</f>
        <v>3.4373684210526285</v>
      </c>
      <c r="N312" s="110">
        <f>'Detailed Report'!AW308</f>
        <v>172.25200000000001</v>
      </c>
      <c r="O312" s="111">
        <f t="shared" si="50"/>
        <v>61.949749999999995</v>
      </c>
      <c r="P312" s="110">
        <f>'Detailed Report'!AM308</f>
        <v>0</v>
      </c>
      <c r="Q312" s="110">
        <f>'Detailed Report'!AN308</f>
        <v>0</v>
      </c>
      <c r="R312" s="110">
        <f>'Detailed Report'!AU308/1.14</f>
        <v>24.55263157894737</v>
      </c>
      <c r="S312" s="110">
        <f>'Detailed Report'!AU308-'........... - Otlob'!R312</f>
        <v>3.4373684210526285</v>
      </c>
    </row>
    <row r="313" spans="1:19" ht="14.45" customHeight="1" x14ac:dyDescent="0.25">
      <c r="A313" s="105">
        <f>+IF(B313="","",SUBTOTAL(3,B$8:B313))</f>
        <v>306</v>
      </c>
      <c r="B313" s="106" t="str">
        <f>'Detailed Report'!O309</f>
        <v>Fuddruckers - Concord Plaza Mall</v>
      </c>
      <c r="C313" s="107">
        <f>TRUNC('Detailed Report'!Q309,0)</f>
        <v>46033</v>
      </c>
      <c r="D313" s="108">
        <f>'Detailed Report'!P309</f>
        <v>3394350328</v>
      </c>
      <c r="E313" s="106" t="str">
        <f>'Detailed Report'!S309</f>
        <v>Successful</v>
      </c>
      <c r="F313" s="109">
        <f>IF(E313=$E$6,('Detailed Report'!Y309),IF(E313=$E$5,(0),0))</f>
        <v>1562.95</v>
      </c>
      <c r="G313" s="106">
        <f>IF(E313=$E$6,('Detailed Report'!AQ309),IF(E313=$E$5,('Detailed Report'!AW309),0))</f>
        <v>1371.0087699999999</v>
      </c>
      <c r="H313" s="106">
        <f>'Detailed Report'!AS309</f>
        <v>342.75218999999998</v>
      </c>
      <c r="I313" s="106">
        <f>'Detailed Report'!AT309</f>
        <v>47.985306600000001</v>
      </c>
      <c r="J313" s="106">
        <f>'Detailed Report'!AO309</f>
        <v>27.351623249999999</v>
      </c>
      <c r="K313" s="106">
        <f>'Detailed Report'!AP309</f>
        <v>3.8292272550000002</v>
      </c>
      <c r="L313" s="106">
        <f>'Detailed Report'!AU309/1.14</f>
        <v>28.061403508771932</v>
      </c>
      <c r="M313" s="106">
        <f>'Detailed Report'!AU309-L313</f>
        <v>3.9285964912280669</v>
      </c>
      <c r="N313" s="110">
        <f>'Detailed Report'!AW309</f>
        <v>1109.0419999999999</v>
      </c>
      <c r="O313" s="111">
        <f t="shared" si="50"/>
        <v>261.96677</v>
      </c>
      <c r="P313" s="110">
        <f>'Detailed Report'!AM309</f>
        <v>0</v>
      </c>
      <c r="Q313" s="110">
        <f>'Detailed Report'!AN309</f>
        <v>0</v>
      </c>
      <c r="R313" s="110">
        <f>'Detailed Report'!AU309/1.14</f>
        <v>28.061403508771932</v>
      </c>
      <c r="S313" s="110">
        <f>'Detailed Report'!AU309-'........... - Otlob'!R313</f>
        <v>3.9285964912280669</v>
      </c>
    </row>
    <row r="314" spans="1:19" ht="14.45" customHeight="1" x14ac:dyDescent="0.25">
      <c r="A314" s="105">
        <f>+IF(B314="","",SUBTOTAL(3,B$8:B314))</f>
        <v>307</v>
      </c>
      <c r="B314" s="106" t="str">
        <f>'Detailed Report'!O310</f>
        <v>Fuddruckers - City Stars</v>
      </c>
      <c r="C314" s="107">
        <f>TRUNC('Detailed Report'!Q310,0)</f>
        <v>46033</v>
      </c>
      <c r="D314" s="108">
        <f>'Detailed Report'!P310</f>
        <v>3394543003</v>
      </c>
      <c r="E314" s="106" t="str">
        <f>'Detailed Report'!S310</f>
        <v>Successful</v>
      </c>
      <c r="F314" s="109">
        <f>IF(E314=$E$6,('Detailed Report'!Y310),IF(E314=$E$5,(0),0))</f>
        <v>405.99</v>
      </c>
      <c r="G314" s="106">
        <f>IF(E314=$E$6,('Detailed Report'!AQ310),IF(E314=$E$5,('Detailed Report'!AW310),0))</f>
        <v>356.13157999999999</v>
      </c>
      <c r="H314" s="106">
        <f>'Detailed Report'!AS310</f>
        <v>89.032899999999998</v>
      </c>
      <c r="I314" s="106">
        <f>'Detailed Report'!AT310</f>
        <v>12.464606</v>
      </c>
      <c r="J314" s="106">
        <f>'Detailed Report'!AO310</f>
        <v>0</v>
      </c>
      <c r="K314" s="106">
        <f>'Detailed Report'!AP310</f>
        <v>0</v>
      </c>
      <c r="L314" s="106">
        <f>'Detailed Report'!AU310/1.14</f>
        <v>25.42982456140351</v>
      </c>
      <c r="M314" s="106">
        <f>'Detailed Report'!AU310-L314</f>
        <v>3.5601754385964881</v>
      </c>
      <c r="N314" s="110">
        <f>'Detailed Report'!AW310</f>
        <v>275.50200000000001</v>
      </c>
      <c r="O314" s="111">
        <f t="shared" si="50"/>
        <v>80.629579999999976</v>
      </c>
      <c r="P314" s="110">
        <f>'Detailed Report'!AM310</f>
        <v>0</v>
      </c>
      <c r="Q314" s="110">
        <f>'Detailed Report'!AN310</f>
        <v>0</v>
      </c>
      <c r="R314" s="110">
        <f>'Detailed Report'!AU310/1.14</f>
        <v>25.42982456140351</v>
      </c>
      <c r="S314" s="110">
        <f>'Detailed Report'!AU310-'........... - Otlob'!R314</f>
        <v>3.5601754385964881</v>
      </c>
    </row>
    <row r="315" spans="1:19" ht="14.45" customHeight="1" x14ac:dyDescent="0.25">
      <c r="A315" s="105">
        <f>+IF(B315="","",SUBTOTAL(3,B$8:B315))</f>
        <v>308</v>
      </c>
      <c r="B315" s="106" t="str">
        <f>'Detailed Report'!O311</f>
        <v>Fuddruckers - New Maadi</v>
      </c>
      <c r="C315" s="107">
        <f>TRUNC('Detailed Report'!Q311,0)</f>
        <v>46033</v>
      </c>
      <c r="D315" s="108">
        <f>'Detailed Report'!P311</f>
        <v>3394566914</v>
      </c>
      <c r="E315" s="106" t="str">
        <f>'Detailed Report'!S311</f>
        <v>Successful</v>
      </c>
      <c r="F315" s="109">
        <f>IF(E315=$E$6,('Detailed Report'!Y311),IF(E315=$E$5,(0),0))</f>
        <v>341.58</v>
      </c>
      <c r="G315" s="106">
        <f>IF(E315=$E$6,('Detailed Report'!AQ311),IF(E315=$E$5,('Detailed Report'!AW311),0))</f>
        <v>299.63157999999999</v>
      </c>
      <c r="H315" s="106">
        <f>'Detailed Report'!AS311</f>
        <v>74.907899999999998</v>
      </c>
      <c r="I315" s="106">
        <f>'Detailed Report'!AT311</f>
        <v>10.487106000000001</v>
      </c>
      <c r="J315" s="106">
        <f>'Detailed Report'!AO311</f>
        <v>5.9776499999999997</v>
      </c>
      <c r="K315" s="106">
        <f>'Detailed Report'!AP311</f>
        <v>0.83687100000000003</v>
      </c>
      <c r="L315" s="106">
        <f>'Detailed Report'!AU311/1.14</f>
        <v>27.184210526315791</v>
      </c>
      <c r="M315" s="106">
        <f>'Detailed Report'!AU311-L315</f>
        <v>3.8057894736842073</v>
      </c>
      <c r="N315" s="110">
        <f>'Detailed Report'!AW311</f>
        <v>218.38</v>
      </c>
      <c r="O315" s="111">
        <f t="shared" si="50"/>
        <v>81.25157999999999</v>
      </c>
      <c r="P315" s="110">
        <f>'Detailed Report'!AM311</f>
        <v>0</v>
      </c>
      <c r="Q315" s="110">
        <f>'Detailed Report'!AN311</f>
        <v>0</v>
      </c>
      <c r="R315" s="110">
        <f>'Detailed Report'!AU311/1.14</f>
        <v>27.184210526315791</v>
      </c>
      <c r="S315" s="110">
        <f>'Detailed Report'!AU311-'........... - Otlob'!R315</f>
        <v>3.8057894736842073</v>
      </c>
    </row>
    <row r="316" spans="1:19" ht="14.45" customHeight="1" x14ac:dyDescent="0.25">
      <c r="A316" s="105">
        <f>+IF(B316="","",SUBTOTAL(3,B$8:B316))</f>
        <v>309</v>
      </c>
      <c r="B316" s="106" t="str">
        <f>'Detailed Report'!O312</f>
        <v>Fuddruckers - Concord Plaza Mall</v>
      </c>
      <c r="C316" s="107">
        <f>TRUNC('Detailed Report'!Q312,0)</f>
        <v>46033</v>
      </c>
      <c r="D316" s="108">
        <f>'Detailed Report'!P312</f>
        <v>3394610668</v>
      </c>
      <c r="E316" s="106" t="str">
        <f>'Detailed Report'!S312</f>
        <v>Successful</v>
      </c>
      <c r="F316" s="109">
        <f>IF(E316=$E$6,('Detailed Report'!Y312),IF(E316=$E$5,(0),0))</f>
        <v>429.99</v>
      </c>
      <c r="G316" s="106">
        <f>IF(E316=$E$6,('Detailed Report'!AQ312),IF(E316=$E$5,('Detailed Report'!AW312),0))</f>
        <v>377.18421000000001</v>
      </c>
      <c r="H316" s="106">
        <f>'Detailed Report'!AS312</f>
        <v>94.296049999999994</v>
      </c>
      <c r="I316" s="106">
        <f>'Detailed Report'!AT312</f>
        <v>13.201447</v>
      </c>
      <c r="J316" s="106">
        <f>'Detailed Report'!AO312</f>
        <v>7.5248249999999999</v>
      </c>
      <c r="K316" s="106">
        <f>'Detailed Report'!AP312</f>
        <v>1.0534755</v>
      </c>
      <c r="L316" s="106">
        <f>'Detailed Report'!AU312/1.14</f>
        <v>28.061403508771932</v>
      </c>
      <c r="M316" s="106">
        <f>'Detailed Report'!AU312-L316</f>
        <v>3.9285964912280669</v>
      </c>
      <c r="N316" s="110">
        <f>'Detailed Report'!AW312</f>
        <v>281.92399999999998</v>
      </c>
      <c r="O316" s="111">
        <f t="shared" si="50"/>
        <v>95.260210000000029</v>
      </c>
      <c r="P316" s="110">
        <f>'Detailed Report'!AM312</f>
        <v>0</v>
      </c>
      <c r="Q316" s="110">
        <f>'Detailed Report'!AN312</f>
        <v>0</v>
      </c>
      <c r="R316" s="110">
        <f>'Detailed Report'!AU312/1.14</f>
        <v>28.061403508771932</v>
      </c>
      <c r="S316" s="110">
        <f>'Detailed Report'!AU312-'........... - Otlob'!R316</f>
        <v>3.9285964912280669</v>
      </c>
    </row>
    <row r="317" spans="1:19" ht="14.45" customHeight="1" x14ac:dyDescent="0.25">
      <c r="A317" s="105">
        <f>+IF(B317="","",SUBTOTAL(3,B$8:B317))</f>
        <v>310</v>
      </c>
      <c r="B317" s="106" t="str">
        <f>'Detailed Report'!O313</f>
        <v>Fuddruckers - New Maadi</v>
      </c>
      <c r="C317" s="107">
        <f>TRUNC('Detailed Report'!Q313,0)</f>
        <v>46033</v>
      </c>
      <c r="D317" s="108">
        <f>'Detailed Report'!P313</f>
        <v>3394676684</v>
      </c>
      <c r="E317" s="106" t="str">
        <f>'Detailed Report'!S313</f>
        <v>Successful</v>
      </c>
      <c r="F317" s="109">
        <f>IF(E317=$E$6,('Detailed Report'!Y313),IF(E317=$E$5,(0),0))</f>
        <v>1189.94</v>
      </c>
      <c r="G317" s="106">
        <f>IF(E317=$E$6,('Detailed Report'!AQ313),IF(E317=$E$5,('Detailed Report'!AW313),0))</f>
        <v>1043.80702</v>
      </c>
      <c r="H317" s="106">
        <f>'Detailed Report'!AS313</f>
        <v>260.95175999999998</v>
      </c>
      <c r="I317" s="106">
        <f>'Detailed Report'!AT313</f>
        <v>36.533246400000003</v>
      </c>
      <c r="J317" s="106">
        <f>'Detailed Report'!AO313</f>
        <v>20.823951749999999</v>
      </c>
      <c r="K317" s="106">
        <f>'Detailed Report'!AP313</f>
        <v>2.9153532449999999</v>
      </c>
      <c r="L317" s="106">
        <f>'Detailed Report'!AU313/1.14</f>
        <v>23.67543859649123</v>
      </c>
      <c r="M317" s="106">
        <f>'Detailed Report'!AU313-L317</f>
        <v>3.3145614035087689</v>
      </c>
      <c r="N317" s="110">
        <f>'Detailed Report'!AW313</f>
        <v>841.726</v>
      </c>
      <c r="O317" s="111">
        <f t="shared" si="50"/>
        <v>202.08101999999997</v>
      </c>
      <c r="P317" s="110">
        <f>'Detailed Report'!AM313</f>
        <v>0</v>
      </c>
      <c r="Q317" s="110">
        <f>'Detailed Report'!AN313</f>
        <v>0</v>
      </c>
      <c r="R317" s="110">
        <f>'Detailed Report'!AU313/1.14</f>
        <v>23.67543859649123</v>
      </c>
      <c r="S317" s="110">
        <f>'Detailed Report'!AU313-'........... - Otlob'!R317</f>
        <v>3.3145614035087689</v>
      </c>
    </row>
    <row r="318" spans="1:19" ht="14.45" customHeight="1" x14ac:dyDescent="0.25">
      <c r="A318" s="105">
        <f>+IF(B318="","",SUBTOTAL(3,B$8:B318))</f>
        <v>311</v>
      </c>
      <c r="B318" s="106" t="str">
        <f>'Detailed Report'!O314</f>
        <v>Fuddruckers - Concord Plaza Mall</v>
      </c>
      <c r="C318" s="107">
        <f>TRUNC('Detailed Report'!Q314,0)</f>
        <v>46033</v>
      </c>
      <c r="D318" s="108">
        <f>'Detailed Report'!P314</f>
        <v>3394745226</v>
      </c>
      <c r="E318" s="106" t="str">
        <f>'Detailed Report'!S314</f>
        <v>Successful</v>
      </c>
      <c r="F318" s="109">
        <f>IF(E318=$E$6,('Detailed Report'!Y314),IF(E318=$E$5,(0),0))</f>
        <v>411.98</v>
      </c>
      <c r="G318" s="106">
        <f>IF(E318=$E$6,('Detailed Report'!AQ314),IF(E318=$E$5,('Detailed Report'!AW314),0))</f>
        <v>361.38596000000001</v>
      </c>
      <c r="H318" s="106">
        <f>'Detailed Report'!AS314</f>
        <v>90.346490000000003</v>
      </c>
      <c r="I318" s="106">
        <f>'Detailed Report'!AT314</f>
        <v>12.6485086</v>
      </c>
      <c r="J318" s="106">
        <f>'Detailed Report'!AO314</f>
        <v>0</v>
      </c>
      <c r="K318" s="106">
        <f>'Detailed Report'!AP314</f>
        <v>0</v>
      </c>
      <c r="L318" s="106">
        <f>'Detailed Report'!AU314/1.14</f>
        <v>0</v>
      </c>
      <c r="M318" s="106">
        <f>'Detailed Report'!AU314-L318</f>
        <v>0</v>
      </c>
      <c r="N318" s="110">
        <f>'Detailed Report'!AW314</f>
        <v>308.98500000000001</v>
      </c>
      <c r="O318" s="111">
        <f t="shared" si="50"/>
        <v>52.400959999999998</v>
      </c>
      <c r="P318" s="110">
        <f>'Detailed Report'!AM314</f>
        <v>0</v>
      </c>
      <c r="Q318" s="110">
        <f>'Detailed Report'!AN314</f>
        <v>0</v>
      </c>
      <c r="R318" s="110">
        <f>'Detailed Report'!AU314/1.14</f>
        <v>0</v>
      </c>
      <c r="S318" s="110">
        <f>'Detailed Report'!AU314-'........... - Otlob'!R318</f>
        <v>0</v>
      </c>
    </row>
    <row r="319" spans="1:19" ht="14.45" customHeight="1" x14ac:dyDescent="0.25">
      <c r="A319" s="105">
        <f>+IF(B319="","",SUBTOTAL(3,B$8:B319))</f>
        <v>312</v>
      </c>
      <c r="B319" s="106" t="str">
        <f>'Detailed Report'!O315</f>
        <v>Fuddruckers - New Maadi</v>
      </c>
      <c r="C319" s="107">
        <f>TRUNC('Detailed Report'!Q315,0)</f>
        <v>46034</v>
      </c>
      <c r="D319" s="108">
        <f>'Detailed Report'!P315</f>
        <v>3395197752</v>
      </c>
      <c r="E319" s="106" t="str">
        <f>'Detailed Report'!S315</f>
        <v>Successful</v>
      </c>
      <c r="F319" s="109">
        <f>IF(E319=$E$6,('Detailed Report'!Y315),IF(E319=$E$5,(0),0))</f>
        <v>588.99</v>
      </c>
      <c r="G319" s="106">
        <f>IF(E319=$E$6,('Detailed Report'!AQ315),IF(E319=$E$5,('Detailed Report'!AW315),0))</f>
        <v>516.65788999999995</v>
      </c>
      <c r="H319" s="106">
        <f>'Detailed Report'!AS315</f>
        <v>129.16446999999999</v>
      </c>
      <c r="I319" s="106">
        <f>'Detailed Report'!AT315</f>
        <v>18.083025800000001</v>
      </c>
      <c r="J319" s="106">
        <f>'Detailed Report'!AO315</f>
        <v>0</v>
      </c>
      <c r="K319" s="106">
        <f>'Detailed Report'!AP315</f>
        <v>0</v>
      </c>
      <c r="L319" s="106">
        <f>'Detailed Report'!AU315/1.14</f>
        <v>0</v>
      </c>
      <c r="M319" s="106">
        <f>'Detailed Report'!AU315-L319</f>
        <v>0</v>
      </c>
      <c r="N319" s="110">
        <f>'Detailed Report'!AW315</f>
        <v>407.54300000000001</v>
      </c>
      <c r="O319" s="111">
        <f t="shared" si="50"/>
        <v>109.11488999999995</v>
      </c>
      <c r="P319" s="110">
        <f>'Detailed Report'!AM315</f>
        <v>30</v>
      </c>
      <c r="Q319" s="110">
        <f>'Detailed Report'!AN315</f>
        <v>4.2</v>
      </c>
      <c r="R319" s="110">
        <f>'Detailed Report'!AU315/1.14</f>
        <v>0</v>
      </c>
      <c r="S319" s="110">
        <f>'Detailed Report'!AU315-'........... - Otlob'!R319</f>
        <v>0</v>
      </c>
    </row>
    <row r="320" spans="1:19" ht="14.45" customHeight="1" x14ac:dyDescent="0.25">
      <c r="A320" s="105">
        <f>+IF(B320="","",SUBTOTAL(3,B$8:B320))</f>
        <v>313</v>
      </c>
      <c r="B320" s="106" t="str">
        <f>'Detailed Report'!O316</f>
        <v>Fuddruckers - Concord Plaza Mall</v>
      </c>
      <c r="C320" s="107">
        <f>TRUNC('Detailed Report'!Q316,0)</f>
        <v>46034</v>
      </c>
      <c r="D320" s="108">
        <f>'Detailed Report'!P316</f>
        <v>3395210572</v>
      </c>
      <c r="E320" s="106" t="str">
        <f>'Detailed Report'!S316</f>
        <v>Successful</v>
      </c>
      <c r="F320" s="109">
        <f>IF(E320=$E$6,('Detailed Report'!Y316),IF(E320=$E$5,(0),0))</f>
        <v>178.49</v>
      </c>
      <c r="G320" s="106">
        <f>IF(E320=$E$6,('Detailed Report'!AQ316),IF(E320=$E$5,('Detailed Report'!AW316),0))</f>
        <v>156.57017999999999</v>
      </c>
      <c r="H320" s="106">
        <f>'Detailed Report'!AS316</f>
        <v>39.14255</v>
      </c>
      <c r="I320" s="106">
        <f>'Detailed Report'!AT316</f>
        <v>5.4799569999999997</v>
      </c>
      <c r="J320" s="106">
        <f>'Detailed Report'!AO316</f>
        <v>3.1235750000000002</v>
      </c>
      <c r="K320" s="106">
        <f>'Detailed Report'!AP316</f>
        <v>0.43730049999999998</v>
      </c>
      <c r="L320" s="106">
        <f>'Detailed Report'!AU316/1.14</f>
        <v>26.307017543859651</v>
      </c>
      <c r="M320" s="106">
        <f>'Detailed Report'!AU316-L320</f>
        <v>3.6829824561403477</v>
      </c>
      <c r="N320" s="110">
        <f>'Detailed Report'!AW316</f>
        <v>100.31699999999999</v>
      </c>
      <c r="O320" s="111">
        <f t="shared" si="50"/>
        <v>56.25318</v>
      </c>
      <c r="P320" s="110">
        <f>'Detailed Report'!AM316</f>
        <v>0</v>
      </c>
      <c r="Q320" s="110">
        <f>'Detailed Report'!AN316</f>
        <v>0</v>
      </c>
      <c r="R320" s="110">
        <f>'Detailed Report'!AU316/1.14</f>
        <v>26.307017543859651</v>
      </c>
      <c r="S320" s="110">
        <f>'Detailed Report'!AU316-'........... - Otlob'!R320</f>
        <v>3.6829824561403477</v>
      </c>
    </row>
    <row r="321" spans="1:19" ht="14.45" customHeight="1" x14ac:dyDescent="0.25">
      <c r="A321" s="105">
        <f>+IF(B321="","",SUBTOTAL(3,B$8:B321))</f>
        <v>314</v>
      </c>
      <c r="B321" s="106" t="str">
        <f>'Detailed Report'!O317</f>
        <v>Fuddruckers - New Maadi</v>
      </c>
      <c r="C321" s="107">
        <f>TRUNC('Detailed Report'!Q317,0)</f>
        <v>46034</v>
      </c>
      <c r="D321" s="108">
        <f>'Detailed Report'!P317</f>
        <v>3395307871</v>
      </c>
      <c r="E321" s="106" t="str">
        <f>'Detailed Report'!S317</f>
        <v>Successful</v>
      </c>
      <c r="F321" s="109">
        <f>IF(E321=$E$6,('Detailed Report'!Y317),IF(E321=$E$5,(0),0))</f>
        <v>280.67</v>
      </c>
      <c r="G321" s="106">
        <f>IF(E321=$E$6,('Detailed Report'!AQ317),IF(E321=$E$5,('Detailed Report'!AW317),0))</f>
        <v>246.20175</v>
      </c>
      <c r="H321" s="106">
        <f>'Detailed Report'!AS317</f>
        <v>61.550440000000002</v>
      </c>
      <c r="I321" s="106">
        <f>'Detailed Report'!AT317</f>
        <v>8.6170615999999995</v>
      </c>
      <c r="J321" s="106">
        <f>'Detailed Report'!AO317</f>
        <v>4.9117249999999997</v>
      </c>
      <c r="K321" s="106">
        <f>'Detailed Report'!AP317</f>
        <v>0.68764150000000002</v>
      </c>
      <c r="L321" s="106">
        <f>'Detailed Report'!AU317/1.14</f>
        <v>23.67543859649123</v>
      </c>
      <c r="M321" s="106">
        <f>'Detailed Report'!AU317-L321</f>
        <v>3.3145614035087689</v>
      </c>
      <c r="N321" s="110">
        <f>'Detailed Report'!AW317</f>
        <v>177.91300000000001</v>
      </c>
      <c r="O321" s="111">
        <f t="shared" si="50"/>
        <v>68.288749999999993</v>
      </c>
      <c r="P321" s="110">
        <f>'Detailed Report'!AM317</f>
        <v>0</v>
      </c>
      <c r="Q321" s="110">
        <f>'Detailed Report'!AN317</f>
        <v>0</v>
      </c>
      <c r="R321" s="110">
        <f>'Detailed Report'!AU317/1.14</f>
        <v>23.67543859649123</v>
      </c>
      <c r="S321" s="110">
        <f>'Detailed Report'!AU317-'........... - Otlob'!R321</f>
        <v>3.3145614035087689</v>
      </c>
    </row>
    <row r="322" spans="1:19" ht="14.45" customHeight="1" x14ac:dyDescent="0.25">
      <c r="A322" s="105">
        <f>+IF(B322="","",SUBTOTAL(3,B$8:B322))</f>
        <v>315</v>
      </c>
      <c r="B322" s="106" t="str">
        <f>'Detailed Report'!O318</f>
        <v>Fuddruckers - Concord Plaza Mall</v>
      </c>
      <c r="C322" s="107">
        <f>TRUNC('Detailed Report'!Q318,0)</f>
        <v>46034</v>
      </c>
      <c r="D322" s="108">
        <f>'Detailed Report'!P318</f>
        <v>3395315464</v>
      </c>
      <c r="E322" s="106" t="str">
        <f>'Detailed Report'!S318</f>
        <v>Successful</v>
      </c>
      <c r="F322" s="109">
        <f>IF(E322=$E$6,('Detailed Report'!Y318),IF(E322=$E$5,(0),0))</f>
        <v>244.99</v>
      </c>
      <c r="G322" s="106">
        <f>IF(E322=$E$6,('Detailed Report'!AQ318),IF(E322=$E$5,('Detailed Report'!AW318),0))</f>
        <v>214.90351000000001</v>
      </c>
      <c r="H322" s="106">
        <f>'Detailed Report'!AS318</f>
        <v>53.725879999999997</v>
      </c>
      <c r="I322" s="106">
        <f>'Detailed Report'!AT318</f>
        <v>7.5216231999999996</v>
      </c>
      <c r="J322" s="106">
        <f>'Detailed Report'!AO318</f>
        <v>4.2873250000000001</v>
      </c>
      <c r="K322" s="106">
        <f>'Detailed Report'!AP318</f>
        <v>0.60022549999999997</v>
      </c>
      <c r="L322" s="106">
        <f>'Detailed Report'!AU318/1.14</f>
        <v>30.692982456140356</v>
      </c>
      <c r="M322" s="106">
        <f>'Detailed Report'!AU318-L322</f>
        <v>4.2970175438596456</v>
      </c>
      <c r="N322" s="110">
        <f>'Detailed Report'!AW318</f>
        <v>143.86500000000001</v>
      </c>
      <c r="O322" s="111">
        <f t="shared" si="50"/>
        <v>71.038510000000002</v>
      </c>
      <c r="P322" s="110">
        <f>'Detailed Report'!AM318</f>
        <v>0</v>
      </c>
      <c r="Q322" s="110">
        <f>'Detailed Report'!AN318</f>
        <v>0</v>
      </c>
      <c r="R322" s="110">
        <f>'Detailed Report'!AU318/1.14</f>
        <v>30.692982456140356</v>
      </c>
      <c r="S322" s="110">
        <f>'Detailed Report'!AU318-'........... - Otlob'!R322</f>
        <v>4.2970175438596456</v>
      </c>
    </row>
    <row r="323" spans="1:19" ht="14.45" customHeight="1" x14ac:dyDescent="0.25">
      <c r="A323" s="105">
        <f>+IF(B323="","",SUBTOTAL(3,B$8:B323))</f>
        <v>316</v>
      </c>
      <c r="B323" s="106" t="str">
        <f>'Detailed Report'!O319</f>
        <v>Fuddruckers - Concord Plaza Mall</v>
      </c>
      <c r="C323" s="107">
        <f>TRUNC('Detailed Report'!Q319,0)</f>
        <v>46034</v>
      </c>
      <c r="D323" s="108">
        <f>'Detailed Report'!P319</f>
        <v>3395543852</v>
      </c>
      <c r="E323" s="106" t="str">
        <f>'Detailed Report'!S319</f>
        <v>Successful</v>
      </c>
      <c r="F323" s="109">
        <f>IF(E323=$E$6,('Detailed Report'!Y319),IF(E323=$E$5,(0),0))</f>
        <v>639.99</v>
      </c>
      <c r="G323" s="106">
        <f>IF(E323=$E$6,('Detailed Report'!AQ319),IF(E323=$E$5,('Detailed Report'!AW319),0))</f>
        <v>561.39473999999996</v>
      </c>
      <c r="H323" s="106">
        <f>'Detailed Report'!AS319</f>
        <v>140.34869</v>
      </c>
      <c r="I323" s="106">
        <f>'Detailed Report'!AT319</f>
        <v>19.6488166</v>
      </c>
      <c r="J323" s="106">
        <f>'Detailed Report'!AO319</f>
        <v>11.199825000000001</v>
      </c>
      <c r="K323" s="106">
        <f>'Detailed Report'!AP319</f>
        <v>1.5679755</v>
      </c>
      <c r="L323" s="106">
        <f>'Detailed Report'!AU319/1.14</f>
        <v>0</v>
      </c>
      <c r="M323" s="106">
        <f>'Detailed Report'!AU319-L323</f>
        <v>0</v>
      </c>
      <c r="N323" s="110">
        <f>'Detailed Report'!AW319</f>
        <v>467.22500000000002</v>
      </c>
      <c r="O323" s="111">
        <f t="shared" si="50"/>
        <v>94.169739999999933</v>
      </c>
      <c r="P323" s="110">
        <f>'Detailed Report'!AM319</f>
        <v>0</v>
      </c>
      <c r="Q323" s="110">
        <f>'Detailed Report'!AN319</f>
        <v>0</v>
      </c>
      <c r="R323" s="110">
        <f>'Detailed Report'!AU319/1.14</f>
        <v>0</v>
      </c>
      <c r="S323" s="110">
        <f>'Detailed Report'!AU319-'........... - Otlob'!R323</f>
        <v>0</v>
      </c>
    </row>
    <row r="324" spans="1:19" ht="14.45" customHeight="1" x14ac:dyDescent="0.25">
      <c r="A324" s="105">
        <f>+IF(B324="","",SUBTOTAL(3,B$8:B324))</f>
        <v>317</v>
      </c>
      <c r="B324" s="106" t="str">
        <f>'Detailed Report'!O320</f>
        <v>Fuddruckers - Concord Plaza Mall</v>
      </c>
      <c r="C324" s="107">
        <f>TRUNC('Detailed Report'!Q320,0)</f>
        <v>46034</v>
      </c>
      <c r="D324" s="108">
        <f>'Detailed Report'!P320</f>
        <v>3395572814</v>
      </c>
      <c r="E324" s="106" t="str">
        <f>'Detailed Report'!S320</f>
        <v>Successful</v>
      </c>
      <c r="F324" s="109">
        <f>IF(E324=$E$6,('Detailed Report'!Y320),IF(E324=$E$5,(0),0))</f>
        <v>250.99</v>
      </c>
      <c r="G324" s="106">
        <f>IF(E324=$E$6,('Detailed Report'!AQ320),IF(E324=$E$5,('Detailed Report'!AW320),0))</f>
        <v>220.16667000000001</v>
      </c>
      <c r="H324" s="106">
        <f>'Detailed Report'!AS320</f>
        <v>55.041670000000003</v>
      </c>
      <c r="I324" s="106">
        <f>'Detailed Report'!AT320</f>
        <v>7.7058337999999997</v>
      </c>
      <c r="J324" s="106">
        <f>'Detailed Report'!AO320</f>
        <v>4.3923249999999996</v>
      </c>
      <c r="K324" s="106">
        <f>'Detailed Report'!AP320</f>
        <v>0.61492550000000001</v>
      </c>
      <c r="L324" s="106">
        <f>'Detailed Report'!AU320/1.14</f>
        <v>0</v>
      </c>
      <c r="M324" s="106">
        <f>'Detailed Report'!AU320-L324</f>
        <v>0</v>
      </c>
      <c r="N324" s="110">
        <f>'Detailed Report'!AW320</f>
        <v>183.23500000000001</v>
      </c>
      <c r="O324" s="111">
        <f t="shared" si="50"/>
        <v>36.931669999999997</v>
      </c>
      <c r="P324" s="110">
        <f>'Detailed Report'!AM320</f>
        <v>0</v>
      </c>
      <c r="Q324" s="110">
        <f>'Detailed Report'!AN320</f>
        <v>0</v>
      </c>
      <c r="R324" s="110">
        <f>'Detailed Report'!AU320/1.14</f>
        <v>0</v>
      </c>
      <c r="S324" s="110">
        <f>'Detailed Report'!AU320-'........... - Otlob'!R324</f>
        <v>0</v>
      </c>
    </row>
    <row r="325" spans="1:19" ht="14.45" customHeight="1" x14ac:dyDescent="0.25">
      <c r="A325" s="105">
        <f>+IF(B325="","",SUBTOTAL(3,B$8:B325))</f>
        <v>318</v>
      </c>
      <c r="B325" s="106" t="str">
        <f>'Detailed Report'!O321</f>
        <v>Fuddruckers - New Maadi</v>
      </c>
      <c r="C325" s="107">
        <f>TRUNC('Detailed Report'!Q321,0)</f>
        <v>46034</v>
      </c>
      <c r="D325" s="108">
        <f>'Detailed Report'!P321</f>
        <v>3395650685</v>
      </c>
      <c r="E325" s="106" t="str">
        <f>'Detailed Report'!S321</f>
        <v>Successful</v>
      </c>
      <c r="F325" s="109">
        <f>IF(E325=$E$6,('Detailed Report'!Y321),IF(E325=$E$5,(0),0))</f>
        <v>1791</v>
      </c>
      <c r="G325" s="106">
        <f>IF(E325=$E$6,('Detailed Report'!AQ321),IF(E325=$E$5,('Detailed Report'!AW321),0))</f>
        <v>1571.0526299999999</v>
      </c>
      <c r="H325" s="106">
        <f>'Detailed Report'!AS321</f>
        <v>392.76316000000003</v>
      </c>
      <c r="I325" s="106">
        <f>'Detailed Report'!AT321</f>
        <v>54.9868424</v>
      </c>
      <c r="J325" s="106">
        <f>'Detailed Report'!AO321</f>
        <v>31.342500000000001</v>
      </c>
      <c r="K325" s="106">
        <f>'Detailed Report'!AP321</f>
        <v>4.38795</v>
      </c>
      <c r="L325" s="106">
        <f>'Detailed Report'!AU321/1.14</f>
        <v>25.42982456140351</v>
      </c>
      <c r="M325" s="106">
        <f>'Detailed Report'!AU321-L325</f>
        <v>3.5601754385964881</v>
      </c>
      <c r="N325" s="110">
        <f>'Detailed Report'!AW321</f>
        <v>1278.53</v>
      </c>
      <c r="O325" s="111">
        <f t="shared" si="50"/>
        <v>292.52262999999994</v>
      </c>
      <c r="P325" s="110">
        <f>'Detailed Report'!AM321</f>
        <v>0</v>
      </c>
      <c r="Q325" s="110">
        <f>'Detailed Report'!AN321</f>
        <v>0</v>
      </c>
      <c r="R325" s="110">
        <f>'Detailed Report'!AU321/1.14</f>
        <v>25.42982456140351</v>
      </c>
      <c r="S325" s="110">
        <f>'Detailed Report'!AU321-'........... - Otlob'!R325</f>
        <v>3.5601754385964881</v>
      </c>
    </row>
    <row r="326" spans="1:19" ht="14.45" customHeight="1" x14ac:dyDescent="0.25">
      <c r="A326" s="105">
        <f>+IF(B326="","",SUBTOTAL(3,B$8:B326))</f>
        <v>319</v>
      </c>
      <c r="B326" s="106" t="str">
        <f>'Detailed Report'!O322</f>
        <v>Fuddruckers - Concord Plaza Mall</v>
      </c>
      <c r="C326" s="107">
        <f>TRUNC('Detailed Report'!Q322,0)</f>
        <v>46034</v>
      </c>
      <c r="D326" s="108">
        <f>'Detailed Report'!P322</f>
        <v>3395685803</v>
      </c>
      <c r="E326" s="106" t="str">
        <f>'Detailed Report'!S322</f>
        <v>Successful</v>
      </c>
      <c r="F326" s="109">
        <f>IF(E326=$E$6,('Detailed Report'!Y322),IF(E326=$E$5,(0),0))</f>
        <v>1449.64</v>
      </c>
      <c r="G326" s="106">
        <f>IF(E326=$E$6,('Detailed Report'!AQ322),IF(E326=$E$5,('Detailed Report'!AW322),0))</f>
        <v>1271.6140399999999</v>
      </c>
      <c r="H326" s="106">
        <f>'Detailed Report'!AS322</f>
        <v>317.90350999999998</v>
      </c>
      <c r="I326" s="106">
        <f>'Detailed Report'!AT322</f>
        <v>44.506491400000002</v>
      </c>
      <c r="J326" s="106">
        <f>'Detailed Report'!AO322</f>
        <v>25.3687</v>
      </c>
      <c r="K326" s="106">
        <f>'Detailed Report'!AP322</f>
        <v>3.5516179999999999</v>
      </c>
      <c r="L326" s="106">
        <f>'Detailed Report'!AU322/1.14</f>
        <v>0</v>
      </c>
      <c r="M326" s="106">
        <f>'Detailed Report'!AU322-L326</f>
        <v>0</v>
      </c>
      <c r="N326" s="110">
        <f>'Detailed Report'!AW322</f>
        <v>1058.31</v>
      </c>
      <c r="O326" s="111">
        <f t="shared" si="50"/>
        <v>213.30403999999999</v>
      </c>
      <c r="P326" s="110">
        <f>'Detailed Report'!AM322</f>
        <v>0</v>
      </c>
      <c r="Q326" s="110">
        <f>'Detailed Report'!AN322</f>
        <v>0</v>
      </c>
      <c r="R326" s="110">
        <f>'Detailed Report'!AU322/1.14</f>
        <v>0</v>
      </c>
      <c r="S326" s="110">
        <f>'Detailed Report'!AU322-'........... - Otlob'!R326</f>
        <v>0</v>
      </c>
    </row>
    <row r="327" spans="1:19" ht="14.45" customHeight="1" x14ac:dyDescent="0.25">
      <c r="A327" s="105">
        <f>+IF(B327="","",SUBTOTAL(3,B$8:B327))</f>
        <v>320</v>
      </c>
      <c r="B327" s="106" t="str">
        <f>'Detailed Report'!O323</f>
        <v>Fuddruckers - New Maadi</v>
      </c>
      <c r="C327" s="107">
        <f>TRUNC('Detailed Report'!Q323,0)</f>
        <v>46034</v>
      </c>
      <c r="D327" s="108">
        <f>'Detailed Report'!P323</f>
        <v>3395731188</v>
      </c>
      <c r="E327" s="106" t="str">
        <f>'Detailed Report'!S323</f>
        <v>Successful</v>
      </c>
      <c r="F327" s="109">
        <f>IF(E327=$E$6,('Detailed Report'!Y323),IF(E327=$E$5,(0),0))</f>
        <v>811.97</v>
      </c>
      <c r="G327" s="106">
        <f>IF(E327=$E$6,('Detailed Report'!AQ323),IF(E327=$E$5,('Detailed Report'!AW323),0))</f>
        <v>712.25438999999994</v>
      </c>
      <c r="H327" s="106">
        <f>'Detailed Report'!AS323</f>
        <v>178.06360000000001</v>
      </c>
      <c r="I327" s="106">
        <f>'Detailed Report'!AT323</f>
        <v>24.928903999999999</v>
      </c>
      <c r="J327" s="106">
        <f>'Detailed Report'!AO323</f>
        <v>14.209474999999999</v>
      </c>
      <c r="K327" s="106">
        <f>'Detailed Report'!AP323</f>
        <v>1.9893265</v>
      </c>
      <c r="L327" s="106">
        <f>'Detailed Report'!AU323/1.14</f>
        <v>26.307017543859651</v>
      </c>
      <c r="M327" s="106">
        <f>'Detailed Report'!AU323-L327</f>
        <v>3.6829824561403477</v>
      </c>
      <c r="N327" s="110">
        <f>'Detailed Report'!AW323</f>
        <v>562.78899999999999</v>
      </c>
      <c r="O327" s="111">
        <f t="shared" si="50"/>
        <v>149.46538999999996</v>
      </c>
      <c r="P327" s="110">
        <f>'Detailed Report'!AM323</f>
        <v>0</v>
      </c>
      <c r="Q327" s="110">
        <f>'Detailed Report'!AN323</f>
        <v>0</v>
      </c>
      <c r="R327" s="110">
        <f>'Detailed Report'!AU323/1.14</f>
        <v>26.307017543859651</v>
      </c>
      <c r="S327" s="110">
        <f>'Detailed Report'!AU323-'........... - Otlob'!R327</f>
        <v>3.6829824561403477</v>
      </c>
    </row>
    <row r="328" spans="1:19" ht="14.45" customHeight="1" x14ac:dyDescent="0.25">
      <c r="A328" s="105">
        <f>+IF(B328="","",SUBTOTAL(3,B$8:B328))</f>
        <v>321</v>
      </c>
      <c r="B328" s="106" t="str">
        <f>'Detailed Report'!O324</f>
        <v>Fuddruckers - New Maadi</v>
      </c>
      <c r="C328" s="107">
        <f>TRUNC('Detailed Report'!Q324,0)</f>
        <v>46034</v>
      </c>
      <c r="D328" s="108">
        <f>'Detailed Report'!P324</f>
        <v>3395749842</v>
      </c>
      <c r="E328" s="106" t="str">
        <f>'Detailed Report'!S324</f>
        <v>Successful</v>
      </c>
      <c r="F328" s="109">
        <f>IF(E328=$E$6,('Detailed Report'!Y324),IF(E328=$E$5,(0),0))</f>
        <v>913.66</v>
      </c>
      <c r="G328" s="106">
        <f>IF(E328=$E$6,('Detailed Report'!AQ324),IF(E328=$E$5,('Detailed Report'!AW324),0))</f>
        <v>801.45614</v>
      </c>
      <c r="H328" s="106">
        <f>'Detailed Report'!AS324</f>
        <v>200.36403999999999</v>
      </c>
      <c r="I328" s="106">
        <f>'Detailed Report'!AT324</f>
        <v>28.050965600000001</v>
      </c>
      <c r="J328" s="106">
        <f>'Detailed Report'!AO324</f>
        <v>15.989050000000001</v>
      </c>
      <c r="K328" s="106">
        <f>'Detailed Report'!AP324</f>
        <v>2.238467</v>
      </c>
      <c r="L328" s="106">
        <f>'Detailed Report'!AU324/1.14</f>
        <v>0</v>
      </c>
      <c r="M328" s="106">
        <f>'Detailed Report'!AU324-L328</f>
        <v>0</v>
      </c>
      <c r="N328" s="110">
        <f>'Detailed Report'!AW324</f>
        <v>667.01700000000005</v>
      </c>
      <c r="O328" s="111">
        <f t="shared" si="50"/>
        <v>134.43913999999995</v>
      </c>
      <c r="P328" s="110">
        <f>'Detailed Report'!AM324</f>
        <v>0</v>
      </c>
      <c r="Q328" s="110">
        <f>'Detailed Report'!AN324</f>
        <v>0</v>
      </c>
      <c r="R328" s="110">
        <f>'Detailed Report'!AU324/1.14</f>
        <v>0</v>
      </c>
      <c r="S328" s="110">
        <f>'Detailed Report'!AU324-'........... - Otlob'!R328</f>
        <v>0</v>
      </c>
    </row>
    <row r="329" spans="1:19" ht="14.45" customHeight="1" x14ac:dyDescent="0.25">
      <c r="A329" s="105">
        <f>+IF(B329="","",SUBTOTAL(3,B$8:B329))</f>
        <v>322</v>
      </c>
      <c r="B329" s="106" t="str">
        <f>'Detailed Report'!O325</f>
        <v>Fuddruckers - New Maadi</v>
      </c>
      <c r="C329" s="107">
        <f>TRUNC('Detailed Report'!Q325,0)</f>
        <v>46034</v>
      </c>
      <c r="D329" s="108">
        <f>'Detailed Report'!P325</f>
        <v>3395853001</v>
      </c>
      <c r="E329" s="106" t="str">
        <f>'Detailed Report'!S325</f>
        <v>Successful</v>
      </c>
      <c r="F329" s="109">
        <f>IF(E329=$E$6,('Detailed Report'!Y325),IF(E329=$E$5,(0),0))</f>
        <v>831.98</v>
      </c>
      <c r="G329" s="106">
        <f>IF(E329=$E$6,('Detailed Report'!AQ325),IF(E329=$E$5,('Detailed Report'!AW325),0))</f>
        <v>729.80701999999997</v>
      </c>
      <c r="H329" s="106">
        <f>'Detailed Report'!AS325</f>
        <v>182.45176000000001</v>
      </c>
      <c r="I329" s="106">
        <f>'Detailed Report'!AT325</f>
        <v>25.543246400000001</v>
      </c>
      <c r="J329" s="106">
        <f>'Detailed Report'!AO325</f>
        <v>14.55965</v>
      </c>
      <c r="K329" s="106">
        <f>'Detailed Report'!AP325</f>
        <v>2.038351</v>
      </c>
      <c r="L329" s="106">
        <f>'Detailed Report'!AU325/1.14</f>
        <v>23.67543859649123</v>
      </c>
      <c r="M329" s="106">
        <f>'Detailed Report'!AU325-L329</f>
        <v>3.3145614035087689</v>
      </c>
      <c r="N329" s="110">
        <f>'Detailed Report'!AW325</f>
        <v>580.39700000000005</v>
      </c>
      <c r="O329" s="111">
        <f t="shared" ref="O329:O392" si="51">G329-N329</f>
        <v>149.41001999999992</v>
      </c>
      <c r="P329" s="110">
        <f>'Detailed Report'!AM325</f>
        <v>0</v>
      </c>
      <c r="Q329" s="110">
        <f>'Detailed Report'!AN325</f>
        <v>0</v>
      </c>
      <c r="R329" s="110">
        <f>'Detailed Report'!AU325/1.14</f>
        <v>23.67543859649123</v>
      </c>
      <c r="S329" s="110">
        <f>'Detailed Report'!AU325-'........... - Otlob'!R329</f>
        <v>3.3145614035087689</v>
      </c>
    </row>
    <row r="330" spans="1:19" ht="14.45" customHeight="1" x14ac:dyDescent="0.25">
      <c r="A330" s="105">
        <f>+IF(B330="","",SUBTOTAL(3,B$8:B330))</f>
        <v>323</v>
      </c>
      <c r="B330" s="106" t="str">
        <f>'Detailed Report'!O326</f>
        <v>Fuddruckers - New Maadi</v>
      </c>
      <c r="C330" s="107">
        <f>TRUNC('Detailed Report'!Q326,0)</f>
        <v>46034</v>
      </c>
      <c r="D330" s="108">
        <f>'Detailed Report'!P326</f>
        <v>3395853525</v>
      </c>
      <c r="E330" s="106" t="str">
        <f>'Detailed Report'!S326</f>
        <v>Successful</v>
      </c>
      <c r="F330" s="109">
        <f>IF(E330=$E$6,('Detailed Report'!Y326),IF(E330=$E$5,(0),0))</f>
        <v>266.99</v>
      </c>
      <c r="G330" s="106">
        <f>IF(E330=$E$6,('Detailed Report'!AQ326),IF(E330=$E$5,('Detailed Report'!AW326),0))</f>
        <v>234.20175</v>
      </c>
      <c r="H330" s="106">
        <f>'Detailed Report'!AS326</f>
        <v>58.550440000000002</v>
      </c>
      <c r="I330" s="106">
        <f>'Detailed Report'!AT326</f>
        <v>8.1970615999999996</v>
      </c>
      <c r="J330" s="106">
        <f>'Detailed Report'!AO326</f>
        <v>4.6723249999999998</v>
      </c>
      <c r="K330" s="106">
        <f>'Detailed Report'!AP326</f>
        <v>0.65412550000000003</v>
      </c>
      <c r="L330" s="106">
        <f>'Detailed Report'!AU326/1.14</f>
        <v>0</v>
      </c>
      <c r="M330" s="106">
        <f>'Detailed Report'!AU326-L330</f>
        <v>0</v>
      </c>
      <c r="N330" s="110">
        <f>'Detailed Report'!AW326</f>
        <v>194.916</v>
      </c>
      <c r="O330" s="111">
        <f t="shared" si="51"/>
        <v>39.285750000000007</v>
      </c>
      <c r="P330" s="110">
        <f>'Detailed Report'!AM326</f>
        <v>0</v>
      </c>
      <c r="Q330" s="110">
        <f>'Detailed Report'!AN326</f>
        <v>0</v>
      </c>
      <c r="R330" s="110">
        <f>'Detailed Report'!AU326/1.14</f>
        <v>0</v>
      </c>
      <c r="S330" s="110">
        <f>'Detailed Report'!AU326-'........... - Otlob'!R330</f>
        <v>0</v>
      </c>
    </row>
    <row r="331" spans="1:19" ht="14.45" customHeight="1" x14ac:dyDescent="0.25">
      <c r="A331" s="105">
        <f>+IF(B331="","",SUBTOTAL(3,B$8:B331))</f>
        <v>324</v>
      </c>
      <c r="B331" s="106" t="str">
        <f>'Detailed Report'!O327</f>
        <v>Fuddruckers - New Maadi</v>
      </c>
      <c r="C331" s="107">
        <f>TRUNC('Detailed Report'!Q327,0)</f>
        <v>46034</v>
      </c>
      <c r="D331" s="108">
        <f>'Detailed Report'!P327</f>
        <v>3396056915</v>
      </c>
      <c r="E331" s="106" t="str">
        <f>'Detailed Report'!S327</f>
        <v>Successful</v>
      </c>
      <c r="F331" s="109">
        <f>IF(E331=$E$6,('Detailed Report'!Y327),IF(E331=$E$5,(0),0))</f>
        <v>491.98</v>
      </c>
      <c r="G331" s="106">
        <f>IF(E331=$E$6,('Detailed Report'!AQ327),IF(E331=$E$5,('Detailed Report'!AW327),0))</f>
        <v>431.56139999999999</v>
      </c>
      <c r="H331" s="106">
        <f>'Detailed Report'!AS327</f>
        <v>107.89035</v>
      </c>
      <c r="I331" s="106">
        <f>'Detailed Report'!AT327</f>
        <v>15.104649</v>
      </c>
      <c r="J331" s="106">
        <f>'Detailed Report'!AO327</f>
        <v>0</v>
      </c>
      <c r="K331" s="106">
        <f>'Detailed Report'!AP327</f>
        <v>0</v>
      </c>
      <c r="L331" s="106">
        <f>'Detailed Report'!AU327/1.14</f>
        <v>24.55263157894737</v>
      </c>
      <c r="M331" s="106">
        <f>'Detailed Report'!AU327-L331</f>
        <v>3.4373684210526285</v>
      </c>
      <c r="N331" s="110">
        <f>'Detailed Report'!AW327</f>
        <v>340.995</v>
      </c>
      <c r="O331" s="111">
        <f t="shared" si="51"/>
        <v>90.566399999999987</v>
      </c>
      <c r="P331" s="110">
        <f>'Detailed Report'!AM327</f>
        <v>0</v>
      </c>
      <c r="Q331" s="110">
        <f>'Detailed Report'!AN327</f>
        <v>0</v>
      </c>
      <c r="R331" s="110">
        <f>'Detailed Report'!AU327/1.14</f>
        <v>24.55263157894737</v>
      </c>
      <c r="S331" s="110">
        <f>'Detailed Report'!AU327-'........... - Otlob'!R331</f>
        <v>3.4373684210526285</v>
      </c>
    </row>
    <row r="332" spans="1:19" ht="14.45" customHeight="1" x14ac:dyDescent="0.25">
      <c r="A332" s="105">
        <f>+IF(B332="","",SUBTOTAL(3,B$8:B332))</f>
        <v>325</v>
      </c>
      <c r="B332" s="106" t="str">
        <f>'Detailed Report'!O328</f>
        <v>Fuddruckers - City Stars</v>
      </c>
      <c r="C332" s="107">
        <f>TRUNC('Detailed Report'!Q328,0)</f>
        <v>46034</v>
      </c>
      <c r="D332" s="108">
        <f>'Detailed Report'!P328</f>
        <v>3396064640</v>
      </c>
      <c r="E332" s="106" t="str">
        <f>'Detailed Report'!S328</f>
        <v>Successful</v>
      </c>
      <c r="F332" s="109">
        <f>IF(E332=$E$6,('Detailed Report'!Y328),IF(E332=$E$5,(0),0))</f>
        <v>790.89</v>
      </c>
      <c r="G332" s="106">
        <f>IF(E332=$E$6,('Detailed Report'!AQ328),IF(E332=$E$5,('Detailed Report'!AW328),0))</f>
        <v>693.76315999999997</v>
      </c>
      <c r="H332" s="106">
        <f>'Detailed Report'!AS328</f>
        <v>173.44078999999999</v>
      </c>
      <c r="I332" s="106">
        <f>'Detailed Report'!AT328</f>
        <v>24.2817106</v>
      </c>
      <c r="J332" s="106">
        <f>'Detailed Report'!AO328</f>
        <v>13.840574999999999</v>
      </c>
      <c r="K332" s="106">
        <f>'Detailed Report'!AP328</f>
        <v>1.9376804999999999</v>
      </c>
      <c r="L332" s="106">
        <f>'Detailed Report'!AU328/1.14</f>
        <v>0</v>
      </c>
      <c r="M332" s="106">
        <f>'Detailed Report'!AU328-L332</f>
        <v>0</v>
      </c>
      <c r="N332" s="110">
        <f>'Detailed Report'!AW328</f>
        <v>577.38900000000001</v>
      </c>
      <c r="O332" s="111">
        <f t="shared" si="51"/>
        <v>116.37415999999996</v>
      </c>
      <c r="P332" s="110">
        <f>'Detailed Report'!AM328</f>
        <v>0</v>
      </c>
      <c r="Q332" s="110">
        <f>'Detailed Report'!AN328</f>
        <v>0</v>
      </c>
      <c r="R332" s="110">
        <f>'Detailed Report'!AU328/1.14</f>
        <v>0</v>
      </c>
      <c r="S332" s="110">
        <f>'Detailed Report'!AU328-'........... - Otlob'!R332</f>
        <v>0</v>
      </c>
    </row>
    <row r="333" spans="1:19" ht="14.45" customHeight="1" x14ac:dyDescent="0.25">
      <c r="A333" s="105">
        <f>+IF(B333="","",SUBTOTAL(3,B$8:B333))</f>
        <v>326</v>
      </c>
      <c r="B333" s="106" t="str">
        <f>'Detailed Report'!O329</f>
        <v>Fuddruckers - Concord Plaza Mall</v>
      </c>
      <c r="C333" s="107">
        <f>TRUNC('Detailed Report'!Q329,0)</f>
        <v>46034</v>
      </c>
      <c r="D333" s="108">
        <f>'Detailed Report'!P329</f>
        <v>3396287141</v>
      </c>
      <c r="E333" s="106" t="str">
        <f>'Detailed Report'!S329</f>
        <v>Successful</v>
      </c>
      <c r="F333" s="109">
        <f>IF(E333=$E$6,('Detailed Report'!Y329),IF(E333=$E$5,(0),0))</f>
        <v>940.98</v>
      </c>
      <c r="G333" s="106">
        <f>IF(E333=$E$6,('Detailed Report'!AQ329),IF(E333=$E$5,('Detailed Report'!AW329),0))</f>
        <v>825.42105000000004</v>
      </c>
      <c r="H333" s="106">
        <f>'Detailed Report'!AS329</f>
        <v>206.35525999999999</v>
      </c>
      <c r="I333" s="106">
        <f>'Detailed Report'!AT329</f>
        <v>28.8897364</v>
      </c>
      <c r="J333" s="106">
        <f>'Detailed Report'!AO329</f>
        <v>16.46715</v>
      </c>
      <c r="K333" s="106">
        <f>'Detailed Report'!AP329</f>
        <v>2.3054009999999998</v>
      </c>
      <c r="L333" s="106">
        <f>'Detailed Report'!AU329/1.14</f>
        <v>0</v>
      </c>
      <c r="M333" s="106">
        <f>'Detailed Report'!AU329-L333</f>
        <v>0</v>
      </c>
      <c r="N333" s="110">
        <f>'Detailed Report'!AW329</f>
        <v>686.96199999999999</v>
      </c>
      <c r="O333" s="111">
        <f t="shared" si="51"/>
        <v>138.45905000000005</v>
      </c>
      <c r="P333" s="110">
        <f>'Detailed Report'!AM329</f>
        <v>0</v>
      </c>
      <c r="Q333" s="110">
        <f>'Detailed Report'!AN329</f>
        <v>0</v>
      </c>
      <c r="R333" s="110">
        <f>'Detailed Report'!AU329/1.14</f>
        <v>0</v>
      </c>
      <c r="S333" s="110">
        <f>'Detailed Report'!AU329-'........... - Otlob'!R333</f>
        <v>0</v>
      </c>
    </row>
    <row r="334" spans="1:19" ht="14.45" customHeight="1" x14ac:dyDescent="0.25">
      <c r="A334" s="105">
        <f>+IF(B334="","",SUBTOTAL(3,B$8:B334))</f>
        <v>327</v>
      </c>
      <c r="B334" s="106" t="str">
        <f>'Detailed Report'!O330</f>
        <v>Fuddruckers - Concord Plaza Mall</v>
      </c>
      <c r="C334" s="107">
        <f>TRUNC('Detailed Report'!Q330,0)</f>
        <v>46034</v>
      </c>
      <c r="D334" s="108">
        <f>'Detailed Report'!P330</f>
        <v>3396505198</v>
      </c>
      <c r="E334" s="106" t="str">
        <f>'Detailed Report'!S330</f>
        <v>Successful</v>
      </c>
      <c r="F334" s="109">
        <f>IF(E334=$E$6,('Detailed Report'!Y330),IF(E334=$E$5,(0),0))</f>
        <v>248.48</v>
      </c>
      <c r="G334" s="106">
        <f>IF(E334=$E$6,('Detailed Report'!AQ330),IF(E334=$E$5,('Detailed Report'!AW330),0))</f>
        <v>217.96491</v>
      </c>
      <c r="H334" s="106">
        <f>'Detailed Report'!AS330</f>
        <v>54.491230000000002</v>
      </c>
      <c r="I334" s="106">
        <f>'Detailed Report'!AT330</f>
        <v>7.6287722000000002</v>
      </c>
      <c r="J334" s="106">
        <f>'Detailed Report'!AO330</f>
        <v>4.3484699999999998</v>
      </c>
      <c r="K334" s="106">
        <f>'Detailed Report'!AP330</f>
        <v>0.60878580000000004</v>
      </c>
      <c r="L334" s="106">
        <f>'Detailed Report'!AU330/1.14</f>
        <v>28.938596491228076</v>
      </c>
      <c r="M334" s="106">
        <f>'Detailed Report'!AU330-L334</f>
        <v>4.0514035087719265</v>
      </c>
      <c r="N334" s="110">
        <f>'Detailed Report'!AW330</f>
        <v>148.41300000000001</v>
      </c>
      <c r="O334" s="111">
        <f t="shared" si="51"/>
        <v>69.551909999999992</v>
      </c>
      <c r="P334" s="110">
        <f>'Detailed Report'!AM330</f>
        <v>0</v>
      </c>
      <c r="Q334" s="110">
        <f>'Detailed Report'!AN330</f>
        <v>0</v>
      </c>
      <c r="R334" s="110">
        <f>'Detailed Report'!AU330/1.14</f>
        <v>28.938596491228076</v>
      </c>
      <c r="S334" s="110">
        <f>'Detailed Report'!AU330-'........... - Otlob'!R334</f>
        <v>4.0514035087719265</v>
      </c>
    </row>
    <row r="335" spans="1:19" ht="14.45" customHeight="1" x14ac:dyDescent="0.25">
      <c r="A335" s="105">
        <f>+IF(B335="","",SUBTOTAL(3,B$8:B335))</f>
        <v>328</v>
      </c>
      <c r="B335" s="106" t="str">
        <f>'Detailed Report'!O331</f>
        <v>Fuddruckers - Concord Plaza Mall</v>
      </c>
      <c r="C335" s="107">
        <f>TRUNC('Detailed Report'!Q331,0)</f>
        <v>46035</v>
      </c>
      <c r="D335" s="108">
        <f>'Detailed Report'!P331</f>
        <v>3397143331</v>
      </c>
      <c r="E335" s="106" t="str">
        <f>'Detailed Report'!S331</f>
        <v>Successful</v>
      </c>
      <c r="F335" s="109">
        <f>IF(E335=$E$6,('Detailed Report'!Y331),IF(E335=$E$5,(0),0))</f>
        <v>356.98</v>
      </c>
      <c r="G335" s="106">
        <f>IF(E335=$E$6,('Detailed Report'!AQ331),IF(E335=$E$5,('Detailed Report'!AW331),0))</f>
        <v>313.14035000000001</v>
      </c>
      <c r="H335" s="106">
        <f>'Detailed Report'!AS331</f>
        <v>78.285089999999997</v>
      </c>
      <c r="I335" s="106">
        <f>'Detailed Report'!AT331</f>
        <v>10.959912599999999</v>
      </c>
      <c r="J335" s="106">
        <f>'Detailed Report'!AO331</f>
        <v>6.2471500000000004</v>
      </c>
      <c r="K335" s="106">
        <f>'Detailed Report'!AP331</f>
        <v>0.87460099999999996</v>
      </c>
      <c r="L335" s="106">
        <f>'Detailed Report'!AU331/1.14</f>
        <v>28.938596491228076</v>
      </c>
      <c r="M335" s="106">
        <f>'Detailed Report'!AU331-L335</f>
        <v>4.0514035087719265</v>
      </c>
      <c r="N335" s="110">
        <f>'Detailed Report'!AW331</f>
        <v>227.62299999999999</v>
      </c>
      <c r="O335" s="111">
        <f t="shared" si="51"/>
        <v>85.517350000000022</v>
      </c>
      <c r="P335" s="110">
        <f>'Detailed Report'!AM331</f>
        <v>0</v>
      </c>
      <c r="Q335" s="110">
        <f>'Detailed Report'!AN331</f>
        <v>0</v>
      </c>
      <c r="R335" s="110">
        <f>'Detailed Report'!AU331/1.14</f>
        <v>28.938596491228076</v>
      </c>
      <c r="S335" s="110">
        <f>'Detailed Report'!AU331-'........... - Otlob'!R335</f>
        <v>4.0514035087719265</v>
      </c>
    </row>
    <row r="336" spans="1:19" ht="14.45" customHeight="1" x14ac:dyDescent="0.25">
      <c r="A336" s="105">
        <f>+IF(B336="","",SUBTOTAL(3,B$8:B336))</f>
        <v>329</v>
      </c>
      <c r="B336" s="106" t="str">
        <f>'Detailed Report'!O332</f>
        <v>Fuddruckers - City Stars</v>
      </c>
      <c r="C336" s="107">
        <f>TRUNC('Detailed Report'!Q332,0)</f>
        <v>46035</v>
      </c>
      <c r="D336" s="108">
        <f>'Detailed Report'!P332</f>
        <v>3397207440</v>
      </c>
      <c r="E336" s="106" t="str">
        <f>'Detailed Report'!S332</f>
        <v>Successful</v>
      </c>
      <c r="F336" s="109">
        <f>IF(E336=$E$6,('Detailed Report'!Y332),IF(E336=$E$5,(0),0))</f>
        <v>81.97</v>
      </c>
      <c r="G336" s="106">
        <f>IF(E336=$E$6,('Detailed Report'!AQ332),IF(E336=$E$5,('Detailed Report'!AW332),0))</f>
        <v>71.903509999999997</v>
      </c>
      <c r="H336" s="106">
        <f>'Detailed Report'!AS332</f>
        <v>17.97588</v>
      </c>
      <c r="I336" s="106">
        <f>'Detailed Report'!AT332</f>
        <v>2.5166232000000002</v>
      </c>
      <c r="J336" s="106">
        <f>'Detailed Report'!AO332</f>
        <v>0</v>
      </c>
      <c r="K336" s="106">
        <f>'Detailed Report'!AP332</f>
        <v>0</v>
      </c>
      <c r="L336" s="106">
        <f>'Detailed Report'!AU332/1.14</f>
        <v>0</v>
      </c>
      <c r="M336" s="106">
        <f>'Detailed Report'!AU332-L336</f>
        <v>0</v>
      </c>
      <c r="N336" s="110">
        <f>'Detailed Report'!AW332</f>
        <v>27.277000000000001</v>
      </c>
      <c r="O336" s="111">
        <f t="shared" si="51"/>
        <v>44.626509999999996</v>
      </c>
      <c r="P336" s="110">
        <f>'Detailed Report'!AM332</f>
        <v>30</v>
      </c>
      <c r="Q336" s="110">
        <f>'Detailed Report'!AN332</f>
        <v>4.2</v>
      </c>
      <c r="R336" s="110">
        <f>'Detailed Report'!AU332/1.14</f>
        <v>0</v>
      </c>
      <c r="S336" s="110">
        <f>'Detailed Report'!AU332-'........... - Otlob'!R336</f>
        <v>0</v>
      </c>
    </row>
    <row r="337" spans="1:19" ht="14.45" customHeight="1" x14ac:dyDescent="0.25">
      <c r="A337" s="105">
        <f>+IF(B337="","",SUBTOTAL(3,B$8:B337))</f>
        <v>330</v>
      </c>
      <c r="B337" s="106" t="str">
        <f>'Detailed Report'!O333</f>
        <v>Fuddruckers - Concord Plaza Mall</v>
      </c>
      <c r="C337" s="107">
        <f>TRUNC('Detailed Report'!Q333,0)</f>
        <v>46035</v>
      </c>
      <c r="D337" s="108">
        <f>'Detailed Report'!P333</f>
        <v>3397216196</v>
      </c>
      <c r="E337" s="106" t="str">
        <f>'Detailed Report'!S333</f>
        <v>Successful</v>
      </c>
      <c r="F337" s="109">
        <f>IF(E337=$E$6,('Detailed Report'!Y333),IF(E337=$E$5,(0),0))</f>
        <v>429.99</v>
      </c>
      <c r="G337" s="106">
        <f>IF(E337=$E$6,('Detailed Report'!AQ333),IF(E337=$E$5,('Detailed Report'!AW333),0))</f>
        <v>377.18421000000001</v>
      </c>
      <c r="H337" s="106">
        <f>'Detailed Report'!AS333</f>
        <v>94.296049999999994</v>
      </c>
      <c r="I337" s="106">
        <f>'Detailed Report'!AT333</f>
        <v>13.201447</v>
      </c>
      <c r="J337" s="106">
        <f>'Detailed Report'!AO333</f>
        <v>7.5248249999999999</v>
      </c>
      <c r="K337" s="106">
        <f>'Detailed Report'!AP333</f>
        <v>1.0534755</v>
      </c>
      <c r="L337" s="106">
        <f>'Detailed Report'!AU333/1.14</f>
        <v>0</v>
      </c>
      <c r="M337" s="106">
        <f>'Detailed Report'!AU333-L337</f>
        <v>0</v>
      </c>
      <c r="N337" s="110">
        <f>'Detailed Report'!AW333</f>
        <v>313.91399999999999</v>
      </c>
      <c r="O337" s="111">
        <f t="shared" si="51"/>
        <v>63.27021000000002</v>
      </c>
      <c r="P337" s="110">
        <f>'Detailed Report'!AM333</f>
        <v>0</v>
      </c>
      <c r="Q337" s="110">
        <f>'Detailed Report'!AN333</f>
        <v>0</v>
      </c>
      <c r="R337" s="110">
        <f>'Detailed Report'!AU333/1.14</f>
        <v>0</v>
      </c>
      <c r="S337" s="110">
        <f>'Detailed Report'!AU333-'........... - Otlob'!R337</f>
        <v>0</v>
      </c>
    </row>
    <row r="338" spans="1:19" ht="14.45" customHeight="1" x14ac:dyDescent="0.25">
      <c r="A338" s="105">
        <f>+IF(B338="","",SUBTOTAL(3,B$8:B338))</f>
        <v>331</v>
      </c>
      <c r="B338" s="106" t="str">
        <f>'Detailed Report'!O334</f>
        <v>Fuddruckers - Concord Plaza Mall</v>
      </c>
      <c r="C338" s="107">
        <f>TRUNC('Detailed Report'!Q334,0)</f>
        <v>46035</v>
      </c>
      <c r="D338" s="108">
        <f>'Detailed Report'!P334</f>
        <v>3397273876</v>
      </c>
      <c r="E338" s="106" t="str">
        <f>'Detailed Report'!S334</f>
        <v>Successful</v>
      </c>
      <c r="F338" s="109">
        <f>IF(E338=$E$6,('Detailed Report'!Y334),IF(E338=$E$5,(0),0))</f>
        <v>885.96</v>
      </c>
      <c r="G338" s="106">
        <f>IF(E338=$E$6,('Detailed Report'!AQ334),IF(E338=$E$5,('Detailed Report'!AW334),0))</f>
        <v>777.15788999999995</v>
      </c>
      <c r="H338" s="106">
        <f>'Detailed Report'!AS334</f>
        <v>194.28946999999999</v>
      </c>
      <c r="I338" s="106">
        <f>'Detailed Report'!AT334</f>
        <v>27.200525800000001</v>
      </c>
      <c r="J338" s="106">
        <f>'Detailed Report'!AO334</f>
        <v>15.504300000000001</v>
      </c>
      <c r="K338" s="106">
        <f>'Detailed Report'!AP334</f>
        <v>2.1706020000000001</v>
      </c>
      <c r="L338" s="106">
        <f>'Detailed Report'!AU334/1.14</f>
        <v>0</v>
      </c>
      <c r="M338" s="106">
        <f>'Detailed Report'!AU334-L338</f>
        <v>0</v>
      </c>
      <c r="N338" s="110">
        <f>'Detailed Report'!AW334</f>
        <v>646.79499999999996</v>
      </c>
      <c r="O338" s="111">
        <f t="shared" si="51"/>
        <v>130.36288999999999</v>
      </c>
      <c r="P338" s="110">
        <f>'Detailed Report'!AM334</f>
        <v>0</v>
      </c>
      <c r="Q338" s="110">
        <f>'Detailed Report'!AN334</f>
        <v>0</v>
      </c>
      <c r="R338" s="110">
        <f>'Detailed Report'!AU334/1.14</f>
        <v>0</v>
      </c>
      <c r="S338" s="110">
        <f>'Detailed Report'!AU334-'........... - Otlob'!R338</f>
        <v>0</v>
      </c>
    </row>
    <row r="339" spans="1:19" ht="14.45" customHeight="1" x14ac:dyDescent="0.25">
      <c r="A339" s="105">
        <f>+IF(B339="","",SUBTOTAL(3,B$8:B339))</f>
        <v>332</v>
      </c>
      <c r="B339" s="106" t="str">
        <f>'Detailed Report'!O335</f>
        <v>Fuddruckers - New Maadi</v>
      </c>
      <c r="C339" s="107">
        <f>TRUNC('Detailed Report'!Q335,0)</f>
        <v>46035</v>
      </c>
      <c r="D339" s="108">
        <f>'Detailed Report'!P335</f>
        <v>3397352746</v>
      </c>
      <c r="E339" s="106" t="str">
        <f>'Detailed Report'!S335</f>
        <v>Successful</v>
      </c>
      <c r="F339" s="109">
        <f>IF(E339=$E$6,('Detailed Report'!Y335),IF(E339=$E$5,(0),0))</f>
        <v>636.98</v>
      </c>
      <c r="G339" s="106">
        <f>IF(E339=$E$6,('Detailed Report'!AQ335),IF(E339=$E$5,('Detailed Report'!AW335),0))</f>
        <v>558.75438999999994</v>
      </c>
      <c r="H339" s="106">
        <f>'Detailed Report'!AS335</f>
        <v>139.68860000000001</v>
      </c>
      <c r="I339" s="106">
        <f>'Detailed Report'!AT335</f>
        <v>19.556404000000001</v>
      </c>
      <c r="J339" s="106">
        <f>'Detailed Report'!AO335</f>
        <v>11.14715</v>
      </c>
      <c r="K339" s="106">
        <f>'Detailed Report'!AP335</f>
        <v>1.5606009999999999</v>
      </c>
      <c r="L339" s="106">
        <f>'Detailed Report'!AU335/1.14</f>
        <v>0</v>
      </c>
      <c r="M339" s="106">
        <f>'Detailed Report'!AU335-L339</f>
        <v>0</v>
      </c>
      <c r="N339" s="110">
        <f>'Detailed Report'!AW335</f>
        <v>465.02699999999999</v>
      </c>
      <c r="O339" s="111">
        <f t="shared" si="51"/>
        <v>93.727389999999957</v>
      </c>
      <c r="P339" s="110">
        <f>'Detailed Report'!AM335</f>
        <v>0</v>
      </c>
      <c r="Q339" s="110">
        <f>'Detailed Report'!AN335</f>
        <v>0</v>
      </c>
      <c r="R339" s="110">
        <f>'Detailed Report'!AU335/1.14</f>
        <v>0</v>
      </c>
      <c r="S339" s="110">
        <f>'Detailed Report'!AU335-'........... - Otlob'!R339</f>
        <v>0</v>
      </c>
    </row>
    <row r="340" spans="1:19" ht="14.45" customHeight="1" x14ac:dyDescent="0.25">
      <c r="A340" s="105">
        <f>+IF(B340="","",SUBTOTAL(3,B$8:B340))</f>
        <v>333</v>
      </c>
      <c r="B340" s="106" t="str">
        <f>'Detailed Report'!O336</f>
        <v>Fuddruckers - Concord Plaza Mall</v>
      </c>
      <c r="C340" s="107">
        <f>TRUNC('Detailed Report'!Q336,0)</f>
        <v>46035</v>
      </c>
      <c r="D340" s="108">
        <f>'Detailed Report'!P336</f>
        <v>3397457050</v>
      </c>
      <c r="E340" s="106" t="str">
        <f>'Detailed Report'!S336</f>
        <v>Successful</v>
      </c>
      <c r="F340" s="109">
        <f>IF(E340=$E$6,('Detailed Report'!Y336),IF(E340=$E$5,(0),0))</f>
        <v>849.96</v>
      </c>
      <c r="G340" s="106">
        <f>IF(E340=$E$6,('Detailed Report'!AQ336),IF(E340=$E$5,('Detailed Report'!AW336),0))</f>
        <v>745.57894999999996</v>
      </c>
      <c r="H340" s="106">
        <f>'Detailed Report'!AS336</f>
        <v>186.39474000000001</v>
      </c>
      <c r="I340" s="106">
        <f>'Detailed Report'!AT336</f>
        <v>26.095263599999999</v>
      </c>
      <c r="J340" s="106">
        <f>'Detailed Report'!AO336</f>
        <v>14.8743</v>
      </c>
      <c r="K340" s="106">
        <f>'Detailed Report'!AP336</f>
        <v>2.0824020000000001</v>
      </c>
      <c r="L340" s="106">
        <f>'Detailed Report'!AU336/1.14</f>
        <v>31.570175438596497</v>
      </c>
      <c r="M340" s="106">
        <f>'Detailed Report'!AU336-L340</f>
        <v>4.4198245614035052</v>
      </c>
      <c r="N340" s="110">
        <f>'Detailed Report'!AW336</f>
        <v>584.52300000000002</v>
      </c>
      <c r="O340" s="111">
        <f t="shared" si="51"/>
        <v>161.05594999999994</v>
      </c>
      <c r="P340" s="110">
        <f>'Detailed Report'!AM336</f>
        <v>0</v>
      </c>
      <c r="Q340" s="110">
        <f>'Detailed Report'!AN336</f>
        <v>0</v>
      </c>
      <c r="R340" s="110">
        <f>'Detailed Report'!AU336/1.14</f>
        <v>31.570175438596497</v>
      </c>
      <c r="S340" s="110">
        <f>'Detailed Report'!AU336-'........... - Otlob'!R340</f>
        <v>4.4198245614035052</v>
      </c>
    </row>
    <row r="341" spans="1:19" ht="14.45" customHeight="1" x14ac:dyDescent="0.25">
      <c r="A341" s="105">
        <f>+IF(B341="","",SUBTOTAL(3,B$8:B341))</f>
        <v>334</v>
      </c>
      <c r="B341" s="106" t="str">
        <f>'Detailed Report'!O337</f>
        <v>Fuddruckers - New Maadi</v>
      </c>
      <c r="C341" s="107">
        <f>TRUNC('Detailed Report'!Q337,0)</f>
        <v>46035</v>
      </c>
      <c r="D341" s="108">
        <f>'Detailed Report'!P337</f>
        <v>3397488181</v>
      </c>
      <c r="E341" s="106" t="str">
        <f>'Detailed Report'!S337</f>
        <v>Successful</v>
      </c>
      <c r="F341" s="109">
        <f>IF(E341=$E$6,('Detailed Report'!Y337),IF(E341=$E$5,(0),0))</f>
        <v>271.58</v>
      </c>
      <c r="G341" s="106">
        <f>IF(E341=$E$6,('Detailed Report'!AQ337),IF(E341=$E$5,('Detailed Report'!AW337),0))</f>
        <v>238.22807</v>
      </c>
      <c r="H341" s="106">
        <f>'Detailed Report'!AS337</f>
        <v>59.557020000000001</v>
      </c>
      <c r="I341" s="106">
        <f>'Detailed Report'!AT337</f>
        <v>8.3379828000000007</v>
      </c>
      <c r="J341" s="106">
        <f>'Detailed Report'!AO337</f>
        <v>4.75265</v>
      </c>
      <c r="K341" s="106">
        <f>'Detailed Report'!AP337</f>
        <v>0.66537100000000005</v>
      </c>
      <c r="L341" s="106">
        <f>'Detailed Report'!AU337/1.14</f>
        <v>25.42982456140351</v>
      </c>
      <c r="M341" s="106">
        <f>'Detailed Report'!AU337-L341</f>
        <v>3.5601754385964881</v>
      </c>
      <c r="N341" s="110">
        <f>'Detailed Report'!AW337</f>
        <v>169.27699999999999</v>
      </c>
      <c r="O341" s="111">
        <f t="shared" si="51"/>
        <v>68.951070000000016</v>
      </c>
      <c r="P341" s="110">
        <f>'Detailed Report'!AM337</f>
        <v>0</v>
      </c>
      <c r="Q341" s="110">
        <f>'Detailed Report'!AN337</f>
        <v>0</v>
      </c>
      <c r="R341" s="110">
        <f>'Detailed Report'!AU337/1.14</f>
        <v>25.42982456140351</v>
      </c>
      <c r="S341" s="110">
        <f>'Detailed Report'!AU337-'........... - Otlob'!R341</f>
        <v>3.5601754385964881</v>
      </c>
    </row>
    <row r="342" spans="1:19" ht="14.45" customHeight="1" x14ac:dyDescent="0.25">
      <c r="A342" s="105">
        <f>+IF(B342="","",SUBTOTAL(3,B$8:B342))</f>
        <v>335</v>
      </c>
      <c r="B342" s="106" t="str">
        <f>'Detailed Report'!O338</f>
        <v>Fuddruckers - Concord Plaza Mall</v>
      </c>
      <c r="C342" s="107">
        <f>TRUNC('Detailed Report'!Q338,0)</f>
        <v>46035</v>
      </c>
      <c r="D342" s="108">
        <f>'Detailed Report'!P338</f>
        <v>3397563222</v>
      </c>
      <c r="E342" s="106" t="str">
        <f>'Detailed Report'!S338</f>
        <v>Successful</v>
      </c>
      <c r="F342" s="109">
        <f>IF(E342=$E$6,('Detailed Report'!Y338),IF(E342=$E$5,(0),0))</f>
        <v>1183.97</v>
      </c>
      <c r="G342" s="106">
        <f>IF(E342=$E$6,('Detailed Report'!AQ338),IF(E342=$E$5,('Detailed Report'!AW338),0))</f>
        <v>1038.5701799999999</v>
      </c>
      <c r="H342" s="106">
        <f>'Detailed Report'!AS338</f>
        <v>259.64255000000003</v>
      </c>
      <c r="I342" s="106">
        <f>'Detailed Report'!AT338</f>
        <v>36.349957000000003</v>
      </c>
      <c r="J342" s="106">
        <f>'Detailed Report'!AO338</f>
        <v>20.719474999999999</v>
      </c>
      <c r="K342" s="106">
        <f>'Detailed Report'!AP338</f>
        <v>2.9007265000000002</v>
      </c>
      <c r="L342" s="106">
        <f>'Detailed Report'!AU338/1.14</f>
        <v>0</v>
      </c>
      <c r="M342" s="106">
        <f>'Detailed Report'!AU338-L342</f>
        <v>0</v>
      </c>
      <c r="N342" s="110">
        <f>'Detailed Report'!AW338</f>
        <v>864.35699999999997</v>
      </c>
      <c r="O342" s="111">
        <f t="shared" si="51"/>
        <v>174.21317999999997</v>
      </c>
      <c r="P342" s="110">
        <f>'Detailed Report'!AM338</f>
        <v>0</v>
      </c>
      <c r="Q342" s="110">
        <f>'Detailed Report'!AN338</f>
        <v>0</v>
      </c>
      <c r="R342" s="110">
        <f>'Detailed Report'!AU338/1.14</f>
        <v>0</v>
      </c>
      <c r="S342" s="110">
        <f>'Detailed Report'!AU338-'........... - Otlob'!R342</f>
        <v>0</v>
      </c>
    </row>
    <row r="343" spans="1:19" ht="14.45" customHeight="1" x14ac:dyDescent="0.25">
      <c r="A343" s="105">
        <f>+IF(B343="","",SUBTOTAL(3,B$8:B343))</f>
        <v>336</v>
      </c>
      <c r="B343" s="106" t="str">
        <f>'Detailed Report'!O339</f>
        <v>Fuddruckers - New Maadi</v>
      </c>
      <c r="C343" s="107">
        <f>TRUNC('Detailed Report'!Q339,0)</f>
        <v>46035</v>
      </c>
      <c r="D343" s="108">
        <f>'Detailed Report'!P339</f>
        <v>3397598442</v>
      </c>
      <c r="E343" s="106" t="str">
        <f>'Detailed Report'!S339</f>
        <v>Successful</v>
      </c>
      <c r="F343" s="109">
        <f>IF(E343=$E$6,('Detailed Report'!Y339),IF(E343=$E$5,(0),0))</f>
        <v>1347.96</v>
      </c>
      <c r="G343" s="106">
        <f>IF(E343=$E$6,('Detailed Report'!AQ339),IF(E343=$E$5,('Detailed Report'!AW339),0))</f>
        <v>1182.4210499999999</v>
      </c>
      <c r="H343" s="106">
        <f>'Detailed Report'!AS339</f>
        <v>295.60525999999999</v>
      </c>
      <c r="I343" s="106">
        <f>'Detailed Report'!AT339</f>
        <v>41.384736400000001</v>
      </c>
      <c r="J343" s="106">
        <f>'Detailed Report'!AO339</f>
        <v>23.589298249999999</v>
      </c>
      <c r="K343" s="106">
        <f>'Detailed Report'!AP339</f>
        <v>3.3025017550000002</v>
      </c>
      <c r="L343" s="106">
        <f>'Detailed Report'!AU339/1.14</f>
        <v>0</v>
      </c>
      <c r="M343" s="106">
        <f>'Detailed Report'!AU339-L343</f>
        <v>0</v>
      </c>
      <c r="N343" s="110">
        <f>'Detailed Report'!AW339</f>
        <v>984.07799999999997</v>
      </c>
      <c r="O343" s="111">
        <f t="shared" si="51"/>
        <v>198.34304999999995</v>
      </c>
      <c r="P343" s="110">
        <f>'Detailed Report'!AM339</f>
        <v>0</v>
      </c>
      <c r="Q343" s="110">
        <f>'Detailed Report'!AN339</f>
        <v>0</v>
      </c>
      <c r="R343" s="110">
        <f>'Detailed Report'!AU339/1.14</f>
        <v>0</v>
      </c>
      <c r="S343" s="110">
        <f>'Detailed Report'!AU339-'........... - Otlob'!R343</f>
        <v>0</v>
      </c>
    </row>
    <row r="344" spans="1:19" ht="14.45" customHeight="1" x14ac:dyDescent="0.25">
      <c r="A344" s="105">
        <f>+IF(B344="","",SUBTOTAL(3,B$8:B344))</f>
        <v>337</v>
      </c>
      <c r="B344" s="106" t="str">
        <f>'Detailed Report'!O340</f>
        <v>Fuddruckers - New Maadi</v>
      </c>
      <c r="C344" s="107">
        <f>TRUNC('Detailed Report'!Q340,0)</f>
        <v>46035</v>
      </c>
      <c r="D344" s="108">
        <f>'Detailed Report'!P340</f>
        <v>3397621381</v>
      </c>
      <c r="E344" s="106" t="str">
        <f>'Detailed Report'!S340</f>
        <v>Successful</v>
      </c>
      <c r="F344" s="109">
        <f>IF(E344=$E$6,('Detailed Report'!Y340),IF(E344=$E$5,(0),0))</f>
        <v>319.99</v>
      </c>
      <c r="G344" s="106">
        <f>IF(E344=$E$6,('Detailed Report'!AQ340),IF(E344=$E$5,('Detailed Report'!AW340),0))</f>
        <v>280.69297999999998</v>
      </c>
      <c r="H344" s="106">
        <f>'Detailed Report'!AS340</f>
        <v>70.173249999999996</v>
      </c>
      <c r="I344" s="106">
        <f>'Detailed Report'!AT340</f>
        <v>9.8242550000000008</v>
      </c>
      <c r="J344" s="106">
        <f>'Detailed Report'!AO340</f>
        <v>5.5998250000000001</v>
      </c>
      <c r="K344" s="106">
        <f>'Detailed Report'!AP340</f>
        <v>0.78397550000000005</v>
      </c>
      <c r="L344" s="106">
        <f>'Detailed Report'!AU340/1.14</f>
        <v>0</v>
      </c>
      <c r="M344" s="106">
        <f>'Detailed Report'!AU340-L344</f>
        <v>0</v>
      </c>
      <c r="N344" s="110">
        <f>'Detailed Report'!AW340</f>
        <v>233.60900000000001</v>
      </c>
      <c r="O344" s="111">
        <f t="shared" si="51"/>
        <v>47.083979999999968</v>
      </c>
      <c r="P344" s="110">
        <f>'Detailed Report'!AM340</f>
        <v>0</v>
      </c>
      <c r="Q344" s="110">
        <f>'Detailed Report'!AN340</f>
        <v>0</v>
      </c>
      <c r="R344" s="110">
        <f>'Detailed Report'!AU340/1.14</f>
        <v>0</v>
      </c>
      <c r="S344" s="110">
        <f>'Detailed Report'!AU340-'........... - Otlob'!R344</f>
        <v>0</v>
      </c>
    </row>
    <row r="345" spans="1:19" ht="14.45" customHeight="1" x14ac:dyDescent="0.25">
      <c r="A345" s="105">
        <f>+IF(B345="","",SUBTOTAL(3,B$8:B345))</f>
        <v>338</v>
      </c>
      <c r="B345" s="106" t="str">
        <f>'Detailed Report'!O341</f>
        <v>Fuddruckers - New Maadi</v>
      </c>
      <c r="C345" s="107">
        <f>TRUNC('Detailed Report'!Q341,0)</f>
        <v>46035</v>
      </c>
      <c r="D345" s="108">
        <f>'Detailed Report'!P341</f>
        <v>3397629800</v>
      </c>
      <c r="E345" s="106" t="str">
        <f>'Detailed Report'!S341</f>
        <v>Successful</v>
      </c>
      <c r="F345" s="109">
        <f>IF(E345=$E$6,('Detailed Report'!Y341),IF(E345=$E$5,(0),0))</f>
        <v>453.99</v>
      </c>
      <c r="G345" s="106">
        <f>IF(E345=$E$6,('Detailed Report'!AQ341),IF(E345=$E$5,('Detailed Report'!AW341),0))</f>
        <v>398.23683999999997</v>
      </c>
      <c r="H345" s="106">
        <f>'Detailed Report'!AS341</f>
        <v>99.559209999999993</v>
      </c>
      <c r="I345" s="106">
        <f>'Detailed Report'!AT341</f>
        <v>13.9382894</v>
      </c>
      <c r="J345" s="106">
        <f>'Detailed Report'!AO341</f>
        <v>7.9448249999999998</v>
      </c>
      <c r="K345" s="106">
        <f>'Detailed Report'!AP341</f>
        <v>1.1122755</v>
      </c>
      <c r="L345" s="106">
        <f>'Detailed Report'!AU341/1.14</f>
        <v>26.307017543859651</v>
      </c>
      <c r="M345" s="106">
        <f>'Detailed Report'!AU341-L345</f>
        <v>3.6829824561403477</v>
      </c>
      <c r="N345" s="110">
        <f>'Detailed Report'!AW341</f>
        <v>301.44499999999999</v>
      </c>
      <c r="O345" s="111">
        <f t="shared" si="51"/>
        <v>96.791839999999979</v>
      </c>
      <c r="P345" s="110">
        <f>'Detailed Report'!AM341</f>
        <v>0</v>
      </c>
      <c r="Q345" s="110">
        <f>'Detailed Report'!AN341</f>
        <v>0</v>
      </c>
      <c r="R345" s="110">
        <f>'Detailed Report'!AU341/1.14</f>
        <v>26.307017543859651</v>
      </c>
      <c r="S345" s="110">
        <f>'Detailed Report'!AU341-'........... - Otlob'!R345</f>
        <v>3.6829824561403477</v>
      </c>
    </row>
    <row r="346" spans="1:19" ht="14.45" customHeight="1" x14ac:dyDescent="0.25">
      <c r="A346" s="105">
        <f>+IF(B346="","",SUBTOTAL(3,B$8:B346))</f>
        <v>339</v>
      </c>
      <c r="B346" s="106" t="str">
        <f>'Detailed Report'!O342</f>
        <v>Fuddruckers - City Stars</v>
      </c>
      <c r="C346" s="107">
        <f>TRUNC('Detailed Report'!Q342,0)</f>
        <v>46035</v>
      </c>
      <c r="D346" s="108">
        <f>'Detailed Report'!P342</f>
        <v>3397644319</v>
      </c>
      <c r="E346" s="106" t="str">
        <f>'Detailed Report'!S342</f>
        <v>Successful</v>
      </c>
      <c r="F346" s="109">
        <f>IF(E346=$E$6,('Detailed Report'!Y342),IF(E346=$E$5,(0),0))</f>
        <v>412.29</v>
      </c>
      <c r="G346" s="106">
        <f>IF(E346=$E$6,('Detailed Report'!AQ342),IF(E346=$E$5,('Detailed Report'!AW342),0))</f>
        <v>361.65789000000001</v>
      </c>
      <c r="H346" s="106">
        <f>'Detailed Report'!AS342</f>
        <v>90.414469999999994</v>
      </c>
      <c r="I346" s="106">
        <f>'Detailed Report'!AT342</f>
        <v>12.658025800000001</v>
      </c>
      <c r="J346" s="106">
        <f>'Detailed Report'!AO342</f>
        <v>0</v>
      </c>
      <c r="K346" s="106">
        <f>'Detailed Report'!AP342</f>
        <v>0</v>
      </c>
      <c r="L346" s="106">
        <f>'Detailed Report'!AU342/1.14</f>
        <v>0</v>
      </c>
      <c r="M346" s="106">
        <f>'Detailed Report'!AU342-L346</f>
        <v>0</v>
      </c>
      <c r="N346" s="110">
        <f>'Detailed Report'!AW342</f>
        <v>309.21800000000002</v>
      </c>
      <c r="O346" s="111">
        <f t="shared" si="51"/>
        <v>52.439889999999991</v>
      </c>
      <c r="P346" s="110">
        <f>'Detailed Report'!AM342</f>
        <v>0</v>
      </c>
      <c r="Q346" s="110">
        <f>'Detailed Report'!AN342</f>
        <v>0</v>
      </c>
      <c r="R346" s="110">
        <f>'Detailed Report'!AU342/1.14</f>
        <v>0</v>
      </c>
      <c r="S346" s="110">
        <f>'Detailed Report'!AU342-'........... - Otlob'!R346</f>
        <v>0</v>
      </c>
    </row>
    <row r="347" spans="1:19" ht="14.45" customHeight="1" x14ac:dyDescent="0.25">
      <c r="A347" s="105">
        <f>+IF(B347="","",SUBTOTAL(3,B$8:B347))</f>
        <v>340</v>
      </c>
      <c r="B347" s="106" t="str">
        <f>'Detailed Report'!O343</f>
        <v>Fuddruckers - New Maadi</v>
      </c>
      <c r="C347" s="107">
        <f>TRUNC('Detailed Report'!Q343,0)</f>
        <v>46035</v>
      </c>
      <c r="D347" s="108">
        <f>'Detailed Report'!P343</f>
        <v>3397649097</v>
      </c>
      <c r="E347" s="106" t="str">
        <f>'Detailed Report'!S343</f>
        <v>Successful</v>
      </c>
      <c r="F347" s="109">
        <f>IF(E347=$E$6,('Detailed Report'!Y343),IF(E347=$E$5,(0),0))</f>
        <v>431.72</v>
      </c>
      <c r="G347" s="106">
        <f>IF(E347=$E$6,('Detailed Report'!AQ343),IF(E347=$E$5,('Detailed Report'!AW343),0))</f>
        <v>378.70175</v>
      </c>
      <c r="H347" s="106">
        <f>'Detailed Report'!AS343</f>
        <v>94.675439999999995</v>
      </c>
      <c r="I347" s="106">
        <f>'Detailed Report'!AT343</f>
        <v>13.254561600000001</v>
      </c>
      <c r="J347" s="106">
        <f>'Detailed Report'!AO343</f>
        <v>7.5551000000000004</v>
      </c>
      <c r="K347" s="106">
        <f>'Detailed Report'!AP343</f>
        <v>1.057714</v>
      </c>
      <c r="L347" s="106">
        <f>'Detailed Report'!AU343/1.14</f>
        <v>0</v>
      </c>
      <c r="M347" s="106">
        <f>'Detailed Report'!AU343-L347</f>
        <v>0</v>
      </c>
      <c r="N347" s="110">
        <f>'Detailed Report'!AW343</f>
        <v>315.17700000000002</v>
      </c>
      <c r="O347" s="111">
        <f t="shared" si="51"/>
        <v>63.524749999999983</v>
      </c>
      <c r="P347" s="110">
        <f>'Detailed Report'!AM343</f>
        <v>0</v>
      </c>
      <c r="Q347" s="110">
        <f>'Detailed Report'!AN343</f>
        <v>0</v>
      </c>
      <c r="R347" s="110">
        <f>'Detailed Report'!AU343/1.14</f>
        <v>0</v>
      </c>
      <c r="S347" s="110">
        <f>'Detailed Report'!AU343-'........... - Otlob'!R347</f>
        <v>0</v>
      </c>
    </row>
    <row r="348" spans="1:19" ht="14.45" customHeight="1" x14ac:dyDescent="0.25">
      <c r="A348" s="105">
        <f>+IF(B348="","",SUBTOTAL(3,B$8:B348))</f>
        <v>341</v>
      </c>
      <c r="B348" s="106" t="str">
        <f>'Detailed Report'!O344</f>
        <v>Fuddruckers - New Maadi</v>
      </c>
      <c r="C348" s="107">
        <f>TRUNC('Detailed Report'!Q344,0)</f>
        <v>46035</v>
      </c>
      <c r="D348" s="108">
        <f>'Detailed Report'!P344</f>
        <v>3397716747</v>
      </c>
      <c r="E348" s="106" t="str">
        <f>'Detailed Report'!S344</f>
        <v>Charged Cancelled</v>
      </c>
      <c r="F348" s="109">
        <f>IF(E348=$E$6,('Detailed Report'!Y344),IF(E348=$E$5,(0),0))</f>
        <v>0</v>
      </c>
      <c r="G348" s="106">
        <f>IF(E348=$E$6,('Detailed Report'!AQ344),IF(E348=$E$5,('Detailed Report'!AW344),0))</f>
        <v>-145.995</v>
      </c>
      <c r="H348" s="106">
        <f>'Detailed Report'!AS344</f>
        <v>128.06578999999999</v>
      </c>
      <c r="I348" s="106">
        <f>'Detailed Report'!AT344</f>
        <v>17.929210600000001</v>
      </c>
      <c r="J348" s="106">
        <f>'Detailed Report'!AO344</f>
        <v>0</v>
      </c>
      <c r="K348" s="106">
        <f>'Detailed Report'!AP344</f>
        <v>0</v>
      </c>
      <c r="L348" s="106">
        <f>'Detailed Report'!AU344/1.14</f>
        <v>0</v>
      </c>
      <c r="M348" s="106">
        <f>'Detailed Report'!AU344-L348</f>
        <v>0</v>
      </c>
      <c r="N348" s="110">
        <f>'Detailed Report'!AW344</f>
        <v>-145.995</v>
      </c>
      <c r="O348" s="111">
        <f t="shared" si="51"/>
        <v>0</v>
      </c>
      <c r="P348" s="110">
        <f>'Detailed Report'!AM344</f>
        <v>0</v>
      </c>
      <c r="Q348" s="110">
        <f>'Detailed Report'!AN344</f>
        <v>0</v>
      </c>
      <c r="R348" s="110">
        <f>'Detailed Report'!AU344/1.14</f>
        <v>0</v>
      </c>
      <c r="S348" s="110">
        <f>'Detailed Report'!AU344-'........... - Otlob'!R348</f>
        <v>0</v>
      </c>
    </row>
    <row r="349" spans="1:19" ht="14.45" customHeight="1" x14ac:dyDescent="0.25">
      <c r="A349" s="105">
        <f>+IF(B349="","",SUBTOTAL(3,B$8:B349))</f>
        <v>342</v>
      </c>
      <c r="B349" s="106" t="str">
        <f>'Detailed Report'!O345</f>
        <v>Fuddruckers - City Stars</v>
      </c>
      <c r="C349" s="107">
        <f>TRUNC('Detailed Report'!Q345,0)</f>
        <v>46035</v>
      </c>
      <c r="D349" s="108">
        <f>'Detailed Report'!P345</f>
        <v>3397725112</v>
      </c>
      <c r="E349" s="106" t="str">
        <f>'Detailed Report'!S345</f>
        <v>Successful</v>
      </c>
      <c r="F349" s="109">
        <f>IF(E349=$E$6,('Detailed Report'!Y345),IF(E349=$E$5,(0),0))</f>
        <v>265</v>
      </c>
      <c r="G349" s="106">
        <f>IF(E349=$E$6,('Detailed Report'!AQ345),IF(E349=$E$5,('Detailed Report'!AW345),0))</f>
        <v>232.45614</v>
      </c>
      <c r="H349" s="106">
        <f>'Detailed Report'!AS345</f>
        <v>58.114040000000003</v>
      </c>
      <c r="I349" s="106">
        <f>'Detailed Report'!AT345</f>
        <v>8.1359656000000005</v>
      </c>
      <c r="J349" s="106">
        <f>'Detailed Report'!AO345</f>
        <v>4.6375000000000002</v>
      </c>
      <c r="K349" s="106">
        <f>'Detailed Report'!AP345</f>
        <v>0.64924999999999999</v>
      </c>
      <c r="L349" s="106">
        <f>'Detailed Report'!AU345/1.14</f>
        <v>0</v>
      </c>
      <c r="M349" s="106">
        <f>'Detailed Report'!AU345-L349</f>
        <v>0</v>
      </c>
      <c r="N349" s="110">
        <f>'Detailed Report'!AW345</f>
        <v>193.46299999999999</v>
      </c>
      <c r="O349" s="111">
        <f t="shared" si="51"/>
        <v>38.993140000000011</v>
      </c>
      <c r="P349" s="110">
        <f>'Detailed Report'!AM345</f>
        <v>0</v>
      </c>
      <c r="Q349" s="110">
        <f>'Detailed Report'!AN345</f>
        <v>0</v>
      </c>
      <c r="R349" s="110">
        <f>'Detailed Report'!AU345/1.14</f>
        <v>0</v>
      </c>
      <c r="S349" s="110">
        <f>'Detailed Report'!AU345-'........... - Otlob'!R349</f>
        <v>0</v>
      </c>
    </row>
    <row r="350" spans="1:19" ht="14.45" customHeight="1" x14ac:dyDescent="0.25">
      <c r="A350" s="105">
        <f>+IF(B350="","",SUBTOTAL(3,B$8:B350))</f>
        <v>343</v>
      </c>
      <c r="B350" s="106" t="str">
        <f>'Detailed Report'!O346</f>
        <v>Fuddruckers - Concord Plaza Mall</v>
      </c>
      <c r="C350" s="107">
        <f>TRUNC('Detailed Report'!Q346,0)</f>
        <v>46035</v>
      </c>
      <c r="D350" s="108">
        <f>'Detailed Report'!P346</f>
        <v>3397770435</v>
      </c>
      <c r="E350" s="106" t="str">
        <f>'Detailed Report'!S346</f>
        <v>Successful</v>
      </c>
      <c r="F350" s="109">
        <f>IF(E350=$E$6,('Detailed Report'!Y346),IF(E350=$E$5,(0),0))</f>
        <v>690.14</v>
      </c>
      <c r="G350" s="106">
        <f>IF(E350=$E$6,('Detailed Report'!AQ346),IF(E350=$E$5,('Detailed Report'!AW346),0))</f>
        <v>605.38595999999995</v>
      </c>
      <c r="H350" s="106">
        <f>'Detailed Report'!AS346</f>
        <v>151.34648999999999</v>
      </c>
      <c r="I350" s="106">
        <f>'Detailed Report'!AT346</f>
        <v>21.188508599999999</v>
      </c>
      <c r="J350" s="106">
        <f>'Detailed Report'!AO346</f>
        <v>12.077450000000001</v>
      </c>
      <c r="K350" s="106">
        <f>'Detailed Report'!AP346</f>
        <v>1.6908430000000001</v>
      </c>
      <c r="L350" s="106">
        <f>'Detailed Report'!AU346/1.14</f>
        <v>27.184210526315791</v>
      </c>
      <c r="M350" s="106">
        <f>'Detailed Report'!AU346-L350</f>
        <v>3.8057894736842073</v>
      </c>
      <c r="N350" s="110">
        <f>'Detailed Report'!AW346</f>
        <v>472.84699999999998</v>
      </c>
      <c r="O350" s="111">
        <f t="shared" si="51"/>
        <v>132.53895999999997</v>
      </c>
      <c r="P350" s="110">
        <f>'Detailed Report'!AM346</f>
        <v>0</v>
      </c>
      <c r="Q350" s="110">
        <f>'Detailed Report'!AN346</f>
        <v>0</v>
      </c>
      <c r="R350" s="110">
        <f>'Detailed Report'!AU346/1.14</f>
        <v>27.184210526315791</v>
      </c>
      <c r="S350" s="110">
        <f>'Detailed Report'!AU346-'........... - Otlob'!R350</f>
        <v>3.8057894736842073</v>
      </c>
    </row>
    <row r="351" spans="1:19" ht="14.45" customHeight="1" x14ac:dyDescent="0.25">
      <c r="A351" s="105">
        <f>+IF(B351="","",SUBTOTAL(3,B$8:B351))</f>
        <v>344</v>
      </c>
      <c r="B351" s="106" t="str">
        <f>'Detailed Report'!O347</f>
        <v>Fuddruckers - New Maadi</v>
      </c>
      <c r="C351" s="107">
        <f>TRUNC('Detailed Report'!Q347,0)</f>
        <v>46035</v>
      </c>
      <c r="D351" s="108">
        <f>'Detailed Report'!P347</f>
        <v>3397799788</v>
      </c>
      <c r="E351" s="106" t="str">
        <f>'Detailed Report'!S347</f>
        <v>Successful</v>
      </c>
      <c r="F351" s="109">
        <f>IF(E351=$E$6,('Detailed Report'!Y347),IF(E351=$E$5,(0),0))</f>
        <v>1353.57</v>
      </c>
      <c r="G351" s="106">
        <f>IF(E351=$E$6,('Detailed Report'!AQ347),IF(E351=$E$5,('Detailed Report'!AW347),0))</f>
        <v>1187.34211</v>
      </c>
      <c r="H351" s="106">
        <f>'Detailed Report'!AS347</f>
        <v>296.83553000000001</v>
      </c>
      <c r="I351" s="106">
        <f>'Detailed Report'!AT347</f>
        <v>41.556974199999999</v>
      </c>
      <c r="J351" s="106">
        <f>'Detailed Report'!AO347</f>
        <v>23.687476749999998</v>
      </c>
      <c r="K351" s="106">
        <f>'Detailed Report'!AP347</f>
        <v>3.3162467449999999</v>
      </c>
      <c r="L351" s="106">
        <f>'Detailed Report'!AU347/1.14</f>
        <v>24.55263157894737</v>
      </c>
      <c r="M351" s="106">
        <f>'Detailed Report'!AU347-L351</f>
        <v>3.4373684210526285</v>
      </c>
      <c r="N351" s="110">
        <f>'Detailed Report'!AW347</f>
        <v>960.18399999999997</v>
      </c>
      <c r="O351" s="111">
        <f t="shared" si="51"/>
        <v>227.15811000000008</v>
      </c>
      <c r="P351" s="110">
        <f>'Detailed Report'!AM347</f>
        <v>0</v>
      </c>
      <c r="Q351" s="110">
        <f>'Detailed Report'!AN347</f>
        <v>0</v>
      </c>
      <c r="R351" s="110">
        <f>'Detailed Report'!AU347/1.14</f>
        <v>24.55263157894737</v>
      </c>
      <c r="S351" s="110">
        <f>'Detailed Report'!AU347-'........... - Otlob'!R351</f>
        <v>3.4373684210526285</v>
      </c>
    </row>
    <row r="352" spans="1:19" ht="14.45" customHeight="1" x14ac:dyDescent="0.25">
      <c r="A352" s="105">
        <f>+IF(B352="","",SUBTOTAL(3,B$8:B352))</f>
        <v>345</v>
      </c>
      <c r="B352" s="106" t="str">
        <f>'Detailed Report'!O348</f>
        <v>Fuddruckers - New Maadi</v>
      </c>
      <c r="C352" s="107">
        <f>TRUNC('Detailed Report'!Q348,0)</f>
        <v>46035</v>
      </c>
      <c r="D352" s="108">
        <f>'Detailed Report'!P348</f>
        <v>3397858157</v>
      </c>
      <c r="E352" s="106" t="str">
        <f>'Detailed Report'!S348</f>
        <v>Successful</v>
      </c>
      <c r="F352" s="109">
        <f>IF(E352=$E$6,('Detailed Report'!Y348),IF(E352=$E$5,(0),0))</f>
        <v>979.98</v>
      </c>
      <c r="G352" s="106">
        <f>IF(E352=$E$6,('Detailed Report'!AQ348),IF(E352=$E$5,('Detailed Report'!AW348),0))</f>
        <v>859.63157999999999</v>
      </c>
      <c r="H352" s="106">
        <f>'Detailed Report'!AS348</f>
        <v>214.90790000000001</v>
      </c>
      <c r="I352" s="106">
        <f>'Detailed Report'!AT348</f>
        <v>30.087105999999999</v>
      </c>
      <c r="J352" s="106">
        <f>'Detailed Report'!AO348</f>
        <v>17.149650000000001</v>
      </c>
      <c r="K352" s="106">
        <f>'Detailed Report'!AP348</f>
        <v>2.4009510000000001</v>
      </c>
      <c r="L352" s="106">
        <f>'Detailed Report'!AU348/1.14</f>
        <v>26.307017543859651</v>
      </c>
      <c r="M352" s="106">
        <f>'Detailed Report'!AU348-L352</f>
        <v>3.6829824561403477</v>
      </c>
      <c r="N352" s="110">
        <f>'Detailed Report'!AW348</f>
        <v>685.44399999999996</v>
      </c>
      <c r="O352" s="111">
        <f t="shared" si="51"/>
        <v>174.18758000000003</v>
      </c>
      <c r="P352" s="110">
        <f>'Detailed Report'!AM348</f>
        <v>0</v>
      </c>
      <c r="Q352" s="110">
        <f>'Detailed Report'!AN348</f>
        <v>0</v>
      </c>
      <c r="R352" s="110">
        <f>'Detailed Report'!AU348/1.14</f>
        <v>26.307017543859651</v>
      </c>
      <c r="S352" s="110">
        <f>'Detailed Report'!AU348-'........... - Otlob'!R352</f>
        <v>3.6829824561403477</v>
      </c>
    </row>
    <row r="353" spans="1:19" ht="14.45" customHeight="1" x14ac:dyDescent="0.25">
      <c r="A353" s="105">
        <f>+IF(B353="","",SUBTOTAL(3,B$8:B353))</f>
        <v>346</v>
      </c>
      <c r="B353" s="106" t="str">
        <f>'Detailed Report'!O349</f>
        <v>Fuddruckers - New Maadi</v>
      </c>
      <c r="C353" s="107">
        <f>TRUNC('Detailed Report'!Q349,0)</f>
        <v>46035</v>
      </c>
      <c r="D353" s="108">
        <f>'Detailed Report'!P349</f>
        <v>3397877810</v>
      </c>
      <c r="E353" s="106" t="str">
        <f>'Detailed Report'!S349</f>
        <v>Successful</v>
      </c>
      <c r="F353" s="109">
        <f>IF(E353=$E$6,('Detailed Report'!Y349),IF(E353=$E$5,(0),0))</f>
        <v>1191.95</v>
      </c>
      <c r="G353" s="106">
        <f>IF(E353=$E$6,('Detailed Report'!AQ349),IF(E353=$E$5,('Detailed Report'!AW349),0))</f>
        <v>1045.5701799999999</v>
      </c>
      <c r="H353" s="106">
        <f>'Detailed Report'!AS349</f>
        <v>261.39255000000003</v>
      </c>
      <c r="I353" s="106">
        <f>'Detailed Report'!AT349</f>
        <v>36.594957000000001</v>
      </c>
      <c r="J353" s="106">
        <f>'Detailed Report'!AO349</f>
        <v>20.85912325</v>
      </c>
      <c r="K353" s="106">
        <f>'Detailed Report'!AP349</f>
        <v>2.9202772549999998</v>
      </c>
      <c r="L353" s="106">
        <f>'Detailed Report'!AU349/1.14</f>
        <v>23.67543859649123</v>
      </c>
      <c r="M353" s="106">
        <f>'Detailed Report'!AU349-L353</f>
        <v>3.3145614035087689</v>
      </c>
      <c r="N353" s="110">
        <f>'Detailed Report'!AW349</f>
        <v>843.19299999999998</v>
      </c>
      <c r="O353" s="111">
        <f t="shared" si="51"/>
        <v>202.37717999999995</v>
      </c>
      <c r="P353" s="110">
        <f>'Detailed Report'!AM349</f>
        <v>0</v>
      </c>
      <c r="Q353" s="110">
        <f>'Detailed Report'!AN349</f>
        <v>0</v>
      </c>
      <c r="R353" s="110">
        <f>'Detailed Report'!AU349/1.14</f>
        <v>23.67543859649123</v>
      </c>
      <c r="S353" s="110">
        <f>'Detailed Report'!AU349-'........... - Otlob'!R353</f>
        <v>3.3145614035087689</v>
      </c>
    </row>
    <row r="354" spans="1:19" ht="14.45" customHeight="1" x14ac:dyDescent="0.25">
      <c r="A354" s="105">
        <f>+IF(B354="","",SUBTOTAL(3,B$8:B354))</f>
        <v>347</v>
      </c>
      <c r="B354" s="106" t="str">
        <f>'Detailed Report'!O350</f>
        <v>Fuddruckers - New Maadi</v>
      </c>
      <c r="C354" s="107">
        <f>TRUNC('Detailed Report'!Q350,0)</f>
        <v>46035</v>
      </c>
      <c r="D354" s="108">
        <f>'Detailed Report'!P350</f>
        <v>3397910542</v>
      </c>
      <c r="E354" s="106" t="str">
        <f>'Detailed Report'!S350</f>
        <v>Successful</v>
      </c>
      <c r="F354" s="109">
        <f>IF(E354=$E$6,('Detailed Report'!Y350),IF(E354=$E$5,(0),0))</f>
        <v>341.58</v>
      </c>
      <c r="G354" s="106">
        <f>IF(E354=$E$6,('Detailed Report'!AQ350),IF(E354=$E$5,('Detailed Report'!AW350),0))</f>
        <v>299.63157999999999</v>
      </c>
      <c r="H354" s="106">
        <f>'Detailed Report'!AS350</f>
        <v>74.907899999999998</v>
      </c>
      <c r="I354" s="106">
        <f>'Detailed Report'!AT350</f>
        <v>10.487106000000001</v>
      </c>
      <c r="J354" s="106">
        <f>'Detailed Report'!AO350</f>
        <v>5.9776499999999997</v>
      </c>
      <c r="K354" s="106">
        <f>'Detailed Report'!AP350</f>
        <v>0.83687100000000003</v>
      </c>
      <c r="L354" s="106">
        <f>'Detailed Report'!AU350/1.14</f>
        <v>27.184210526315791</v>
      </c>
      <c r="M354" s="106">
        <f>'Detailed Report'!AU350-L354</f>
        <v>3.8057894736842073</v>
      </c>
      <c r="N354" s="110">
        <f>'Detailed Report'!AW350</f>
        <v>218.38</v>
      </c>
      <c r="O354" s="111">
        <f t="shared" si="51"/>
        <v>81.25157999999999</v>
      </c>
      <c r="P354" s="110">
        <f>'Detailed Report'!AM350</f>
        <v>0</v>
      </c>
      <c r="Q354" s="110">
        <f>'Detailed Report'!AN350</f>
        <v>0</v>
      </c>
      <c r="R354" s="110">
        <f>'Detailed Report'!AU350/1.14</f>
        <v>27.184210526315791</v>
      </c>
      <c r="S354" s="110">
        <f>'Detailed Report'!AU350-'........... - Otlob'!R354</f>
        <v>3.8057894736842073</v>
      </c>
    </row>
    <row r="355" spans="1:19" ht="14.45" customHeight="1" x14ac:dyDescent="0.25">
      <c r="A355" s="105">
        <f>+IF(B355="","",SUBTOTAL(3,B$8:B355))</f>
        <v>348</v>
      </c>
      <c r="B355" s="106" t="str">
        <f>'Detailed Report'!O351</f>
        <v>Fuddruckers - New Maadi</v>
      </c>
      <c r="C355" s="107">
        <f>TRUNC('Detailed Report'!Q351,0)</f>
        <v>46035</v>
      </c>
      <c r="D355" s="108">
        <f>'Detailed Report'!P351</f>
        <v>3397929797</v>
      </c>
      <c r="E355" s="106" t="str">
        <f>'Detailed Report'!S351</f>
        <v>Successful</v>
      </c>
      <c r="F355" s="109">
        <f>IF(E355=$E$6,('Detailed Report'!Y351),IF(E355=$E$5,(0),0))</f>
        <v>527.66</v>
      </c>
      <c r="G355" s="106">
        <f>IF(E355=$E$6,('Detailed Report'!AQ351),IF(E355=$E$5,('Detailed Report'!AW351),0))</f>
        <v>462.85964999999999</v>
      </c>
      <c r="H355" s="106">
        <f>'Detailed Report'!AS351</f>
        <v>115.71491</v>
      </c>
      <c r="I355" s="106">
        <f>'Detailed Report'!AT351</f>
        <v>16.200087400000001</v>
      </c>
      <c r="J355" s="106">
        <f>'Detailed Report'!AO351</f>
        <v>0</v>
      </c>
      <c r="K355" s="106">
        <f>'Detailed Report'!AP351</f>
        <v>0</v>
      </c>
      <c r="L355" s="106">
        <f>'Detailed Report'!AU351/1.14</f>
        <v>0</v>
      </c>
      <c r="M355" s="106">
        <f>'Detailed Report'!AU351-L355</f>
        <v>0</v>
      </c>
      <c r="N355" s="110">
        <f>'Detailed Report'!AW351</f>
        <v>395.745</v>
      </c>
      <c r="O355" s="111">
        <f t="shared" si="51"/>
        <v>67.114649999999983</v>
      </c>
      <c r="P355" s="110">
        <f>'Detailed Report'!AM351</f>
        <v>0</v>
      </c>
      <c r="Q355" s="110">
        <f>'Detailed Report'!AN351</f>
        <v>0</v>
      </c>
      <c r="R355" s="110">
        <f>'Detailed Report'!AU351/1.14</f>
        <v>0</v>
      </c>
      <c r="S355" s="110">
        <f>'Detailed Report'!AU351-'........... - Otlob'!R355</f>
        <v>0</v>
      </c>
    </row>
    <row r="356" spans="1:19" ht="14.45" customHeight="1" x14ac:dyDescent="0.25">
      <c r="A356" s="105">
        <f>+IF(B356="","",SUBTOTAL(3,B$8:B356))</f>
        <v>349</v>
      </c>
      <c r="B356" s="106" t="str">
        <f>'Detailed Report'!O352</f>
        <v>Fuddruckers - Concord Plaza Mall</v>
      </c>
      <c r="C356" s="107">
        <f>TRUNC('Detailed Report'!Q352,0)</f>
        <v>46035</v>
      </c>
      <c r="D356" s="108">
        <f>'Detailed Report'!P352</f>
        <v>3397961153</v>
      </c>
      <c r="E356" s="106" t="str">
        <f>'Detailed Report'!S352</f>
        <v>Successful</v>
      </c>
      <c r="F356" s="109">
        <f>IF(E356=$E$6,('Detailed Report'!Y352),IF(E356=$E$5,(0),0))</f>
        <v>744.92</v>
      </c>
      <c r="G356" s="106">
        <f>IF(E356=$E$6,('Detailed Report'!AQ352),IF(E356=$E$5,('Detailed Report'!AW352),0))</f>
        <v>653.43859999999995</v>
      </c>
      <c r="H356" s="106">
        <f>'Detailed Report'!AS352</f>
        <v>163.35964999999999</v>
      </c>
      <c r="I356" s="106">
        <f>'Detailed Report'!AT352</f>
        <v>22.870350999999999</v>
      </c>
      <c r="J356" s="106">
        <f>'Detailed Report'!AO352</f>
        <v>13.036099999999999</v>
      </c>
      <c r="K356" s="106">
        <f>'Detailed Report'!AP352</f>
        <v>1.825054</v>
      </c>
      <c r="L356" s="106">
        <f>'Detailed Report'!AU352/1.14</f>
        <v>29.815789473684216</v>
      </c>
      <c r="M356" s="106">
        <f>'Detailed Report'!AU352-L356</f>
        <v>4.174210526315786</v>
      </c>
      <c r="N356" s="110">
        <f>'Detailed Report'!AW352</f>
        <v>509.839</v>
      </c>
      <c r="O356" s="111">
        <f t="shared" si="51"/>
        <v>143.59959999999995</v>
      </c>
      <c r="P356" s="110">
        <f>'Detailed Report'!AM352</f>
        <v>0</v>
      </c>
      <c r="Q356" s="110">
        <f>'Detailed Report'!AN352</f>
        <v>0</v>
      </c>
      <c r="R356" s="110">
        <f>'Detailed Report'!AU352/1.14</f>
        <v>29.815789473684216</v>
      </c>
      <c r="S356" s="110">
        <f>'Detailed Report'!AU352-'........... - Otlob'!R356</f>
        <v>4.174210526315786</v>
      </c>
    </row>
    <row r="357" spans="1:19" ht="14.45" customHeight="1" x14ac:dyDescent="0.25">
      <c r="A357" s="105">
        <f>+IF(B357="","",SUBTOTAL(3,B$8:B357))</f>
        <v>350</v>
      </c>
      <c r="B357" s="106" t="str">
        <f>'Detailed Report'!O353</f>
        <v>Fuddruckers - New Maadi</v>
      </c>
      <c r="C357" s="107">
        <f>TRUNC('Detailed Report'!Q353,0)</f>
        <v>46035</v>
      </c>
      <c r="D357" s="108">
        <f>'Detailed Report'!P353</f>
        <v>3397962684</v>
      </c>
      <c r="E357" s="106" t="str">
        <f>'Detailed Report'!S353</f>
        <v>Successful</v>
      </c>
      <c r="F357" s="109">
        <f>IF(E357=$E$6,('Detailed Report'!Y353),IF(E357=$E$5,(0),0))</f>
        <v>524.91999999999996</v>
      </c>
      <c r="G357" s="106">
        <f>IF(E357=$E$6,('Detailed Report'!AQ353),IF(E357=$E$5,('Detailed Report'!AW353),0))</f>
        <v>460.45614</v>
      </c>
      <c r="H357" s="106">
        <f>'Detailed Report'!AS353</f>
        <v>115.11404</v>
      </c>
      <c r="I357" s="106">
        <f>'Detailed Report'!AT353</f>
        <v>16.115965599999999</v>
      </c>
      <c r="J357" s="106">
        <f>'Detailed Report'!AO353</f>
        <v>0</v>
      </c>
      <c r="K357" s="106">
        <f>'Detailed Report'!AP353</f>
        <v>0</v>
      </c>
      <c r="L357" s="106">
        <f>'Detailed Report'!AU353/1.14</f>
        <v>0</v>
      </c>
      <c r="M357" s="106">
        <f>'Detailed Report'!AU353-L357</f>
        <v>0</v>
      </c>
      <c r="N357" s="110">
        <f>'Detailed Report'!AW353</f>
        <v>393.69</v>
      </c>
      <c r="O357" s="111">
        <f t="shared" si="51"/>
        <v>66.766140000000007</v>
      </c>
      <c r="P357" s="110">
        <f>'Detailed Report'!AM353</f>
        <v>0</v>
      </c>
      <c r="Q357" s="110">
        <f>'Detailed Report'!AN353</f>
        <v>0</v>
      </c>
      <c r="R357" s="110">
        <f>'Detailed Report'!AU353/1.14</f>
        <v>0</v>
      </c>
      <c r="S357" s="110">
        <f>'Detailed Report'!AU353-'........... - Otlob'!R357</f>
        <v>0</v>
      </c>
    </row>
    <row r="358" spans="1:19" ht="14.45" customHeight="1" x14ac:dyDescent="0.25">
      <c r="A358" s="105">
        <f>+IF(B358="","",SUBTOTAL(3,B$8:B358))</f>
        <v>351</v>
      </c>
      <c r="B358" s="106" t="str">
        <f>'Detailed Report'!O354</f>
        <v>Fuddruckers - New Maadi</v>
      </c>
      <c r="C358" s="107">
        <f>TRUNC('Detailed Report'!Q354,0)</f>
        <v>46035</v>
      </c>
      <c r="D358" s="108">
        <f>'Detailed Report'!P354</f>
        <v>3397982009</v>
      </c>
      <c r="E358" s="106" t="str">
        <f>'Detailed Report'!S354</f>
        <v>Successful</v>
      </c>
      <c r="F358" s="109">
        <f>IF(E358=$E$6,('Detailed Report'!Y354),IF(E358=$E$5,(0),0))</f>
        <v>329</v>
      </c>
      <c r="G358" s="106">
        <f>IF(E358=$E$6,('Detailed Report'!AQ354),IF(E358=$E$5,('Detailed Report'!AW354),0))</f>
        <v>288.59649000000002</v>
      </c>
      <c r="H358" s="106">
        <f>'Detailed Report'!AS354</f>
        <v>72.149119999999996</v>
      </c>
      <c r="I358" s="106">
        <f>'Detailed Report'!AT354</f>
        <v>10.1008768</v>
      </c>
      <c r="J358" s="106">
        <f>'Detailed Report'!AO354</f>
        <v>5.7575000000000003</v>
      </c>
      <c r="K358" s="106">
        <f>'Detailed Report'!AP354</f>
        <v>0.80605000000000004</v>
      </c>
      <c r="L358" s="106">
        <f>'Detailed Report'!AU354/1.14</f>
        <v>0</v>
      </c>
      <c r="M358" s="106">
        <f>'Detailed Report'!AU354-L358</f>
        <v>0</v>
      </c>
      <c r="N358" s="110">
        <f>'Detailed Report'!AW354</f>
        <v>240.18600000000001</v>
      </c>
      <c r="O358" s="111">
        <f t="shared" si="51"/>
        <v>48.41049000000001</v>
      </c>
      <c r="P358" s="110">
        <f>'Detailed Report'!AM354</f>
        <v>0</v>
      </c>
      <c r="Q358" s="110">
        <f>'Detailed Report'!AN354</f>
        <v>0</v>
      </c>
      <c r="R358" s="110">
        <f>'Detailed Report'!AU354/1.14</f>
        <v>0</v>
      </c>
      <c r="S358" s="110">
        <f>'Detailed Report'!AU354-'........... - Otlob'!R358</f>
        <v>0</v>
      </c>
    </row>
    <row r="359" spans="1:19" ht="14.45" customHeight="1" x14ac:dyDescent="0.25">
      <c r="A359" s="105">
        <f>+IF(B359="","",SUBTOTAL(3,B$8:B359))</f>
        <v>352</v>
      </c>
      <c r="B359" s="106" t="str">
        <f>'Detailed Report'!O355</f>
        <v>Fuddruckers - New Maadi</v>
      </c>
      <c r="C359" s="107">
        <f>TRUNC('Detailed Report'!Q355,0)</f>
        <v>46035</v>
      </c>
      <c r="D359" s="108">
        <f>'Detailed Report'!P355</f>
        <v>3397994522</v>
      </c>
      <c r="E359" s="106" t="str">
        <f>'Detailed Report'!S355</f>
        <v>Successful</v>
      </c>
      <c r="F359" s="109">
        <f>IF(E359=$E$6,('Detailed Report'!Y355),IF(E359=$E$5,(0),0))</f>
        <v>805.99</v>
      </c>
      <c r="G359" s="106">
        <f>IF(E359=$E$6,('Detailed Report'!AQ355),IF(E359=$E$5,('Detailed Report'!AW355),0))</f>
        <v>707.00877000000003</v>
      </c>
      <c r="H359" s="106">
        <f>'Detailed Report'!AS355</f>
        <v>176.75219000000001</v>
      </c>
      <c r="I359" s="106">
        <f>'Detailed Report'!AT355</f>
        <v>24.745306599999999</v>
      </c>
      <c r="J359" s="106">
        <f>'Detailed Report'!AO355</f>
        <v>14.104825</v>
      </c>
      <c r="K359" s="106">
        <f>'Detailed Report'!AP355</f>
        <v>1.9746755</v>
      </c>
      <c r="L359" s="106">
        <f>'Detailed Report'!AU355/1.14</f>
        <v>25.42982456140351</v>
      </c>
      <c r="M359" s="106">
        <f>'Detailed Report'!AU355-L359</f>
        <v>3.5601754385964881</v>
      </c>
      <c r="N359" s="110">
        <f>'Detailed Report'!AW355</f>
        <v>559.423</v>
      </c>
      <c r="O359" s="111">
        <f t="shared" si="51"/>
        <v>147.58577000000002</v>
      </c>
      <c r="P359" s="110">
        <f>'Detailed Report'!AM355</f>
        <v>0</v>
      </c>
      <c r="Q359" s="110">
        <f>'Detailed Report'!AN355</f>
        <v>0</v>
      </c>
      <c r="R359" s="110">
        <f>'Detailed Report'!AU355/1.14</f>
        <v>25.42982456140351</v>
      </c>
      <c r="S359" s="110">
        <f>'Detailed Report'!AU355-'........... - Otlob'!R359</f>
        <v>3.5601754385964881</v>
      </c>
    </row>
    <row r="360" spans="1:19" ht="14.45" customHeight="1" x14ac:dyDescent="0.25">
      <c r="A360" s="105">
        <f>+IF(B360="","",SUBTOTAL(3,B$8:B360))</f>
        <v>353</v>
      </c>
      <c r="B360" s="106" t="str">
        <f>'Detailed Report'!O356</f>
        <v>Fuddruckers - Concord Plaza Mall</v>
      </c>
      <c r="C360" s="107">
        <f>TRUNC('Detailed Report'!Q356,0)</f>
        <v>46035</v>
      </c>
      <c r="D360" s="108">
        <f>'Detailed Report'!P356</f>
        <v>3398037437</v>
      </c>
      <c r="E360" s="106" t="str">
        <f>'Detailed Report'!S356</f>
        <v>Successful</v>
      </c>
      <c r="F360" s="109">
        <f>IF(E360=$E$6,('Detailed Report'!Y356),IF(E360=$E$5,(0),0))</f>
        <v>1178.97</v>
      </c>
      <c r="G360" s="106">
        <f>IF(E360=$E$6,('Detailed Report'!AQ356),IF(E360=$E$5,('Detailed Report'!AW356),0))</f>
        <v>1034.1842099999999</v>
      </c>
      <c r="H360" s="106">
        <f>'Detailed Report'!AS356</f>
        <v>258.54604999999998</v>
      </c>
      <c r="I360" s="106">
        <f>'Detailed Report'!AT356</f>
        <v>36.196446999999999</v>
      </c>
      <c r="J360" s="106">
        <f>'Detailed Report'!AO356</f>
        <v>20.631975000000001</v>
      </c>
      <c r="K360" s="106">
        <f>'Detailed Report'!AP356</f>
        <v>2.8884764999999999</v>
      </c>
      <c r="L360" s="106">
        <f>'Detailed Report'!AU356/1.14</f>
        <v>0</v>
      </c>
      <c r="M360" s="106">
        <f>'Detailed Report'!AU356-L360</f>
        <v>0</v>
      </c>
      <c r="N360" s="110">
        <f>'Detailed Report'!AW356</f>
        <v>860.70699999999999</v>
      </c>
      <c r="O360" s="111">
        <f t="shared" si="51"/>
        <v>173.4772099999999</v>
      </c>
      <c r="P360" s="110">
        <f>'Detailed Report'!AM356</f>
        <v>0</v>
      </c>
      <c r="Q360" s="110">
        <f>'Detailed Report'!AN356</f>
        <v>0</v>
      </c>
      <c r="R360" s="110">
        <f>'Detailed Report'!AU356/1.14</f>
        <v>0</v>
      </c>
      <c r="S360" s="110">
        <f>'Detailed Report'!AU356-'........... - Otlob'!R360</f>
        <v>0</v>
      </c>
    </row>
    <row r="361" spans="1:19" ht="14.45" customHeight="1" x14ac:dyDescent="0.25">
      <c r="A361" s="105">
        <f>+IF(B361="","",SUBTOTAL(3,B$8:B361))</f>
        <v>354</v>
      </c>
      <c r="B361" s="106" t="str">
        <f>'Detailed Report'!O357</f>
        <v>Fuddruckers - Concord Plaza Mall</v>
      </c>
      <c r="C361" s="107">
        <f>TRUNC('Detailed Report'!Q357,0)</f>
        <v>46035</v>
      </c>
      <c r="D361" s="108">
        <f>'Detailed Report'!P357</f>
        <v>3398048550</v>
      </c>
      <c r="E361" s="106" t="str">
        <f>'Detailed Report'!S357</f>
        <v>Successful</v>
      </c>
      <c r="F361" s="109">
        <f>IF(E361=$E$6,('Detailed Report'!Y357),IF(E361=$E$5,(0),0))</f>
        <v>529.98</v>
      </c>
      <c r="G361" s="106">
        <f>IF(E361=$E$6,('Detailed Report'!AQ357),IF(E361=$E$5,('Detailed Report'!AW357),0))</f>
        <v>464.89474000000001</v>
      </c>
      <c r="H361" s="106">
        <f>'Detailed Report'!AS357</f>
        <v>116.22369</v>
      </c>
      <c r="I361" s="106">
        <f>'Detailed Report'!AT357</f>
        <v>16.271316599999999</v>
      </c>
      <c r="J361" s="106">
        <f>'Detailed Report'!AO357</f>
        <v>0</v>
      </c>
      <c r="K361" s="106">
        <f>'Detailed Report'!AP357</f>
        <v>0</v>
      </c>
      <c r="L361" s="106">
        <f>'Detailed Report'!AU357/1.14</f>
        <v>0</v>
      </c>
      <c r="M361" s="106">
        <f>'Detailed Report'!AU357-L361</f>
        <v>0</v>
      </c>
      <c r="N361" s="110">
        <f>'Detailed Report'!AW357</f>
        <v>397.48500000000001</v>
      </c>
      <c r="O361" s="111">
        <f t="shared" si="51"/>
        <v>67.409739999999999</v>
      </c>
      <c r="P361" s="110">
        <f>'Detailed Report'!AM357</f>
        <v>0</v>
      </c>
      <c r="Q361" s="110">
        <f>'Detailed Report'!AN357</f>
        <v>0</v>
      </c>
      <c r="R361" s="110">
        <f>'Detailed Report'!AU357/1.14</f>
        <v>0</v>
      </c>
      <c r="S361" s="110">
        <f>'Detailed Report'!AU357-'........... - Otlob'!R361</f>
        <v>0</v>
      </c>
    </row>
    <row r="362" spans="1:19" ht="14.45" customHeight="1" x14ac:dyDescent="0.25">
      <c r="A362" s="105">
        <f>+IF(B362="","",SUBTOTAL(3,B$8:B362))</f>
        <v>355</v>
      </c>
      <c r="B362" s="106" t="str">
        <f>'Detailed Report'!O358</f>
        <v>Fuddruckers - City Stars</v>
      </c>
      <c r="C362" s="107">
        <f>TRUNC('Detailed Report'!Q358,0)</f>
        <v>46035</v>
      </c>
      <c r="D362" s="108">
        <f>'Detailed Report'!P358</f>
        <v>3398060617</v>
      </c>
      <c r="E362" s="106" t="str">
        <f>'Detailed Report'!S358</f>
        <v>Successful</v>
      </c>
      <c r="F362" s="109">
        <f>IF(E362=$E$6,('Detailed Report'!Y358),IF(E362=$E$5,(0),0))</f>
        <v>465.98</v>
      </c>
      <c r="G362" s="106">
        <f>IF(E362=$E$6,('Detailed Report'!AQ358),IF(E362=$E$5,('Detailed Report'!AW358),0))</f>
        <v>408.75439</v>
      </c>
      <c r="H362" s="106">
        <f>'Detailed Report'!AS358</f>
        <v>102.18859999999999</v>
      </c>
      <c r="I362" s="106">
        <f>'Detailed Report'!AT358</f>
        <v>14.306404000000001</v>
      </c>
      <c r="J362" s="106">
        <f>'Detailed Report'!AO358</f>
        <v>8.1546500000000002</v>
      </c>
      <c r="K362" s="106">
        <f>'Detailed Report'!AP358</f>
        <v>1.141651</v>
      </c>
      <c r="L362" s="106">
        <f>'Detailed Report'!AU358/1.14</f>
        <v>0</v>
      </c>
      <c r="M362" s="106">
        <f>'Detailed Report'!AU358-L362</f>
        <v>0</v>
      </c>
      <c r="N362" s="110">
        <f>'Detailed Report'!AW358</f>
        <v>340.18900000000002</v>
      </c>
      <c r="O362" s="111">
        <f t="shared" si="51"/>
        <v>68.565389999999979</v>
      </c>
      <c r="P362" s="110">
        <f>'Detailed Report'!AM358</f>
        <v>0</v>
      </c>
      <c r="Q362" s="110">
        <f>'Detailed Report'!AN358</f>
        <v>0</v>
      </c>
      <c r="R362" s="110">
        <f>'Detailed Report'!AU358/1.14</f>
        <v>0</v>
      </c>
      <c r="S362" s="110">
        <f>'Detailed Report'!AU358-'........... - Otlob'!R362</f>
        <v>0</v>
      </c>
    </row>
    <row r="363" spans="1:19" ht="14.45" customHeight="1" x14ac:dyDescent="0.25">
      <c r="A363" s="105">
        <f>+IF(B363="","",SUBTOTAL(3,B$8:B363))</f>
        <v>356</v>
      </c>
      <c r="B363" s="106" t="str">
        <f>'Detailed Report'!O359</f>
        <v>Fuddruckers - Concord Plaza Mall</v>
      </c>
      <c r="C363" s="107">
        <f>TRUNC('Detailed Report'!Q359,0)</f>
        <v>46035</v>
      </c>
      <c r="D363" s="108">
        <f>'Detailed Report'!P359</f>
        <v>3398130619</v>
      </c>
      <c r="E363" s="106" t="str">
        <f>'Detailed Report'!S359</f>
        <v>Successful</v>
      </c>
      <c r="F363" s="109">
        <f>IF(E363=$E$6,('Detailed Report'!Y359),IF(E363=$E$5,(0),0))</f>
        <v>1341.62</v>
      </c>
      <c r="G363" s="106">
        <f>IF(E363=$E$6,('Detailed Report'!AQ359),IF(E363=$E$5,('Detailed Report'!AW359),0))</f>
        <v>1176.8596500000001</v>
      </c>
      <c r="H363" s="106">
        <f>'Detailed Report'!AS359</f>
        <v>294.21490999999997</v>
      </c>
      <c r="I363" s="106">
        <f>'Detailed Report'!AT359</f>
        <v>41.190087400000003</v>
      </c>
      <c r="J363" s="106">
        <f>'Detailed Report'!AO359</f>
        <v>23.478349999999999</v>
      </c>
      <c r="K363" s="106">
        <f>'Detailed Report'!AP359</f>
        <v>3.286969</v>
      </c>
      <c r="L363" s="106">
        <f>'Detailed Report'!AU359/1.14</f>
        <v>27.184210526315791</v>
      </c>
      <c r="M363" s="106">
        <f>'Detailed Report'!AU359-L363</f>
        <v>3.8057894736842073</v>
      </c>
      <c r="N363" s="110">
        <f>'Detailed Report'!AW359</f>
        <v>948.46</v>
      </c>
      <c r="O363" s="111">
        <f t="shared" si="51"/>
        <v>228.39965000000007</v>
      </c>
      <c r="P363" s="110">
        <f>'Detailed Report'!AM359</f>
        <v>0</v>
      </c>
      <c r="Q363" s="110">
        <f>'Detailed Report'!AN359</f>
        <v>0</v>
      </c>
      <c r="R363" s="110">
        <f>'Detailed Report'!AU359/1.14</f>
        <v>27.184210526315791</v>
      </c>
      <c r="S363" s="110">
        <f>'Detailed Report'!AU359-'........... - Otlob'!R363</f>
        <v>3.8057894736842073</v>
      </c>
    </row>
    <row r="364" spans="1:19" ht="14.45" customHeight="1" x14ac:dyDescent="0.25">
      <c r="A364" s="105">
        <f>+IF(B364="","",SUBTOTAL(3,B$8:B364))</f>
        <v>357</v>
      </c>
      <c r="B364" s="106" t="str">
        <f>'Detailed Report'!O360</f>
        <v>Fuddruckers - Concord Plaza Mall</v>
      </c>
      <c r="C364" s="107">
        <f>TRUNC('Detailed Report'!Q360,0)</f>
        <v>46035</v>
      </c>
      <c r="D364" s="108">
        <f>'Detailed Report'!P360</f>
        <v>3398179592</v>
      </c>
      <c r="E364" s="106" t="str">
        <f>'Detailed Report'!S360</f>
        <v>Successful</v>
      </c>
      <c r="F364" s="109">
        <f>IF(E364=$E$6,('Detailed Report'!Y360),IF(E364=$E$5,(0),0))</f>
        <v>724.29</v>
      </c>
      <c r="G364" s="106">
        <f>IF(E364=$E$6,('Detailed Report'!AQ360),IF(E364=$E$5,('Detailed Report'!AW360),0))</f>
        <v>635.34211000000005</v>
      </c>
      <c r="H364" s="106">
        <f>'Detailed Report'!AS360</f>
        <v>158.83553000000001</v>
      </c>
      <c r="I364" s="106">
        <f>'Detailed Report'!AT360</f>
        <v>22.236974199999999</v>
      </c>
      <c r="J364" s="106">
        <f>'Detailed Report'!AO360</f>
        <v>0</v>
      </c>
      <c r="K364" s="106">
        <f>'Detailed Report'!AP360</f>
        <v>0</v>
      </c>
      <c r="L364" s="106">
        <f>'Detailed Report'!AU360/1.14</f>
        <v>0</v>
      </c>
      <c r="M364" s="106">
        <f>'Detailed Report'!AU360-L364</f>
        <v>0</v>
      </c>
      <c r="N364" s="110">
        <f>'Detailed Report'!AW360</f>
        <v>543.21699999999998</v>
      </c>
      <c r="O364" s="111">
        <f t="shared" si="51"/>
        <v>92.125110000000063</v>
      </c>
      <c r="P364" s="110">
        <f>'Detailed Report'!AM360</f>
        <v>0</v>
      </c>
      <c r="Q364" s="110">
        <f>'Detailed Report'!AN360</f>
        <v>0</v>
      </c>
      <c r="R364" s="110">
        <f>'Detailed Report'!AU360/1.14</f>
        <v>0</v>
      </c>
      <c r="S364" s="110">
        <f>'Detailed Report'!AU360-'........... - Otlob'!R364</f>
        <v>0</v>
      </c>
    </row>
    <row r="365" spans="1:19" ht="14.45" customHeight="1" x14ac:dyDescent="0.25">
      <c r="A365" s="105">
        <f>+IF(B365="","",SUBTOTAL(3,B$8:B365))</f>
        <v>358</v>
      </c>
      <c r="B365" s="106" t="str">
        <f>'Detailed Report'!O361</f>
        <v>Fuddruckers - New Maadi</v>
      </c>
      <c r="C365" s="107">
        <f>TRUNC('Detailed Report'!Q361,0)</f>
        <v>46035</v>
      </c>
      <c r="D365" s="108">
        <f>'Detailed Report'!P361</f>
        <v>3398230916</v>
      </c>
      <c r="E365" s="106" t="str">
        <f>'Detailed Report'!S361</f>
        <v>Successful</v>
      </c>
      <c r="F365" s="109">
        <f>IF(E365=$E$6,('Detailed Report'!Y361),IF(E365=$E$5,(0),0))</f>
        <v>704.99</v>
      </c>
      <c r="G365" s="106">
        <f>IF(E365=$E$6,('Detailed Report'!AQ361),IF(E365=$E$5,('Detailed Report'!AW361),0))</f>
        <v>618.41228000000001</v>
      </c>
      <c r="H365" s="106">
        <f>'Detailed Report'!AS361</f>
        <v>154.60307</v>
      </c>
      <c r="I365" s="106">
        <f>'Detailed Report'!AT361</f>
        <v>21.644429800000001</v>
      </c>
      <c r="J365" s="106">
        <f>'Detailed Report'!AO361</f>
        <v>12.337325</v>
      </c>
      <c r="K365" s="106">
        <f>'Detailed Report'!AP361</f>
        <v>1.7272255000000001</v>
      </c>
      <c r="L365" s="106">
        <f>'Detailed Report'!AU361/1.14</f>
        <v>0</v>
      </c>
      <c r="M365" s="106">
        <f>'Detailed Report'!AU361-L365</f>
        <v>0</v>
      </c>
      <c r="N365" s="110">
        <f>'Detailed Report'!AW361</f>
        <v>514.678</v>
      </c>
      <c r="O365" s="111">
        <f t="shared" si="51"/>
        <v>103.73428000000001</v>
      </c>
      <c r="P365" s="110">
        <f>'Detailed Report'!AM361</f>
        <v>0</v>
      </c>
      <c r="Q365" s="110">
        <f>'Detailed Report'!AN361</f>
        <v>0</v>
      </c>
      <c r="R365" s="110">
        <f>'Detailed Report'!AU361/1.14</f>
        <v>0</v>
      </c>
      <c r="S365" s="110">
        <f>'Detailed Report'!AU361-'........... - Otlob'!R365</f>
        <v>0</v>
      </c>
    </row>
    <row r="366" spans="1:19" ht="14.45" customHeight="1" x14ac:dyDescent="0.25">
      <c r="A366" s="105">
        <f>+IF(B366="","",SUBTOTAL(3,B$8:B366))</f>
        <v>359</v>
      </c>
      <c r="B366" s="106" t="str">
        <f>'Detailed Report'!O362</f>
        <v>Fuddruckers - New Maadi</v>
      </c>
      <c r="C366" s="107">
        <f>TRUNC('Detailed Report'!Q362,0)</f>
        <v>46036</v>
      </c>
      <c r="D366" s="108">
        <f>'Detailed Report'!P362</f>
        <v>3398735734</v>
      </c>
      <c r="E366" s="106" t="str">
        <f>'Detailed Report'!S362</f>
        <v>Successful</v>
      </c>
      <c r="F366" s="109">
        <f>IF(E366=$E$6,('Detailed Report'!Y362),IF(E366=$E$5,(0),0))</f>
        <v>253.99</v>
      </c>
      <c r="G366" s="106">
        <f>IF(E366=$E$6,('Detailed Report'!AQ362),IF(E366=$E$5,('Detailed Report'!AW362),0))</f>
        <v>222.79825</v>
      </c>
      <c r="H366" s="106">
        <f>'Detailed Report'!AS362</f>
        <v>55.699559999999998</v>
      </c>
      <c r="I366" s="106">
        <f>'Detailed Report'!AT362</f>
        <v>7.7979383999999996</v>
      </c>
      <c r="J366" s="106">
        <f>'Detailed Report'!AO362</f>
        <v>4.4448249999999998</v>
      </c>
      <c r="K366" s="106">
        <f>'Detailed Report'!AP362</f>
        <v>0.62227549999999998</v>
      </c>
      <c r="L366" s="106">
        <f>'Detailed Report'!AU362/1.14</f>
        <v>26.307017543859651</v>
      </c>
      <c r="M366" s="106">
        <f>'Detailed Report'!AU362-L366</f>
        <v>3.6829824561403477</v>
      </c>
      <c r="N366" s="110">
        <f>'Detailed Report'!AW362</f>
        <v>155.435</v>
      </c>
      <c r="O366" s="111">
        <f t="shared" si="51"/>
        <v>67.363249999999994</v>
      </c>
      <c r="P366" s="110">
        <f>'Detailed Report'!AM362</f>
        <v>0</v>
      </c>
      <c r="Q366" s="110">
        <f>'Detailed Report'!AN362</f>
        <v>0</v>
      </c>
      <c r="R366" s="110">
        <f>'Detailed Report'!AU362/1.14</f>
        <v>26.307017543859651</v>
      </c>
      <c r="S366" s="110">
        <f>'Detailed Report'!AU362-'........... - Otlob'!R366</f>
        <v>3.6829824561403477</v>
      </c>
    </row>
    <row r="367" spans="1:19" ht="14.45" customHeight="1" x14ac:dyDescent="0.25">
      <c r="A367" s="105">
        <f>+IF(B367="","",SUBTOTAL(3,B$8:B367))</f>
        <v>360</v>
      </c>
      <c r="B367" s="106" t="str">
        <f>'Detailed Report'!O363</f>
        <v>Fuddruckers - Concord Plaza Mall</v>
      </c>
      <c r="C367" s="107">
        <f>TRUNC('Detailed Report'!Q363,0)</f>
        <v>46036</v>
      </c>
      <c r="D367" s="108">
        <f>'Detailed Report'!P363</f>
        <v>3398812723</v>
      </c>
      <c r="E367" s="106" t="str">
        <f>'Detailed Report'!S363</f>
        <v>Successful</v>
      </c>
      <c r="F367" s="109">
        <f>IF(E367=$E$6,('Detailed Report'!Y363),IF(E367=$E$5,(0),0))</f>
        <v>454.99</v>
      </c>
      <c r="G367" s="106">
        <f>IF(E367=$E$6,('Detailed Report'!AQ363),IF(E367=$E$5,('Detailed Report'!AW363),0))</f>
        <v>399.11403999999999</v>
      </c>
      <c r="H367" s="106">
        <f>'Detailed Report'!AS363</f>
        <v>99.778509999999997</v>
      </c>
      <c r="I367" s="106">
        <f>'Detailed Report'!AT363</f>
        <v>13.9689914</v>
      </c>
      <c r="J367" s="106">
        <f>'Detailed Report'!AO363</f>
        <v>0</v>
      </c>
      <c r="K367" s="106">
        <f>'Detailed Report'!AP363</f>
        <v>0</v>
      </c>
      <c r="L367" s="106">
        <f>'Detailed Report'!AU363/1.14</f>
        <v>0</v>
      </c>
      <c r="M367" s="106">
        <f>'Detailed Report'!AU363-L367</f>
        <v>0</v>
      </c>
      <c r="N367" s="110">
        <f>'Detailed Report'!AW363</f>
        <v>341.24200000000002</v>
      </c>
      <c r="O367" s="111">
        <f t="shared" si="51"/>
        <v>57.87203999999997</v>
      </c>
      <c r="P367" s="110">
        <f>'Detailed Report'!AM363</f>
        <v>0</v>
      </c>
      <c r="Q367" s="110">
        <f>'Detailed Report'!AN363</f>
        <v>0</v>
      </c>
      <c r="R367" s="110">
        <f>'Detailed Report'!AU363/1.14</f>
        <v>0</v>
      </c>
      <c r="S367" s="110">
        <f>'Detailed Report'!AU363-'........... - Otlob'!R367</f>
        <v>0</v>
      </c>
    </row>
    <row r="368" spans="1:19" ht="14.45" customHeight="1" x14ac:dyDescent="0.25">
      <c r="A368" s="105">
        <f>+IF(B368="","",SUBTOTAL(3,B$8:B368))</f>
        <v>361</v>
      </c>
      <c r="B368" s="106" t="str">
        <f>'Detailed Report'!O364</f>
        <v>Fuddruckers - City Stars</v>
      </c>
      <c r="C368" s="107">
        <f>TRUNC('Detailed Report'!Q364,0)</f>
        <v>46036</v>
      </c>
      <c r="D368" s="108">
        <f>'Detailed Report'!P364</f>
        <v>3398833505</v>
      </c>
      <c r="E368" s="106" t="str">
        <f>'Detailed Report'!S364</f>
        <v>Successful</v>
      </c>
      <c r="F368" s="109">
        <f>IF(E368=$E$6,('Detailed Report'!Y364),IF(E368=$E$5,(0),0))</f>
        <v>355.99</v>
      </c>
      <c r="G368" s="106">
        <f>IF(E368=$E$6,('Detailed Report'!AQ364),IF(E368=$E$5,('Detailed Report'!AW364),0))</f>
        <v>312.27193</v>
      </c>
      <c r="H368" s="106">
        <f>'Detailed Report'!AS364</f>
        <v>78.067980000000006</v>
      </c>
      <c r="I368" s="106">
        <f>'Detailed Report'!AT364</f>
        <v>10.929517199999999</v>
      </c>
      <c r="J368" s="106">
        <f>'Detailed Report'!AO364</f>
        <v>6.2298249999999999</v>
      </c>
      <c r="K368" s="106">
        <f>'Detailed Report'!AP364</f>
        <v>0.87217549999999999</v>
      </c>
      <c r="L368" s="106">
        <f>'Detailed Report'!AU364/1.14</f>
        <v>0</v>
      </c>
      <c r="M368" s="106">
        <f>'Detailed Report'!AU364-L368</f>
        <v>0</v>
      </c>
      <c r="N368" s="110">
        <f>'Detailed Report'!AW364</f>
        <v>259.89100000000002</v>
      </c>
      <c r="O368" s="111">
        <f t="shared" si="51"/>
        <v>52.380929999999978</v>
      </c>
      <c r="P368" s="110">
        <f>'Detailed Report'!AM364</f>
        <v>0</v>
      </c>
      <c r="Q368" s="110">
        <f>'Detailed Report'!AN364</f>
        <v>0</v>
      </c>
      <c r="R368" s="110">
        <f>'Detailed Report'!AU364/1.14</f>
        <v>0</v>
      </c>
      <c r="S368" s="110">
        <f>'Detailed Report'!AU364-'........... - Otlob'!R368</f>
        <v>0</v>
      </c>
    </row>
    <row r="369" spans="1:19" ht="14.45" customHeight="1" x14ac:dyDescent="0.25">
      <c r="A369" s="105">
        <f>+IF(B369="","",SUBTOTAL(3,B$8:B369))</f>
        <v>362</v>
      </c>
      <c r="B369" s="106" t="str">
        <f>'Detailed Report'!O365</f>
        <v>Fuddruckers - New Maadi</v>
      </c>
      <c r="C369" s="107">
        <f>TRUNC('Detailed Report'!Q365,0)</f>
        <v>46036</v>
      </c>
      <c r="D369" s="108">
        <f>'Detailed Report'!P365</f>
        <v>3398835419</v>
      </c>
      <c r="E369" s="106" t="str">
        <f>'Detailed Report'!S365</f>
        <v>Successful</v>
      </c>
      <c r="F369" s="109">
        <f>IF(E369=$E$6,('Detailed Report'!Y365),IF(E369=$E$5,(0),0))</f>
        <v>362.99</v>
      </c>
      <c r="G369" s="106">
        <f>IF(E369=$E$6,('Detailed Report'!AQ365),IF(E369=$E$5,('Detailed Report'!AW365),0))</f>
        <v>318.41228000000001</v>
      </c>
      <c r="H369" s="106">
        <f>'Detailed Report'!AS365</f>
        <v>79.603070000000002</v>
      </c>
      <c r="I369" s="106">
        <f>'Detailed Report'!AT365</f>
        <v>11.144429799999999</v>
      </c>
      <c r="J369" s="106">
        <f>'Detailed Report'!AO365</f>
        <v>0</v>
      </c>
      <c r="K369" s="106">
        <f>'Detailed Report'!AP365</f>
        <v>0</v>
      </c>
      <c r="L369" s="106">
        <f>'Detailed Report'!AU365/1.14</f>
        <v>23.67543859649123</v>
      </c>
      <c r="M369" s="106">
        <f>'Detailed Report'!AU365-L369</f>
        <v>3.3145614035087689</v>
      </c>
      <c r="N369" s="110">
        <f>'Detailed Report'!AW365</f>
        <v>245.25299999999999</v>
      </c>
      <c r="O369" s="111">
        <f t="shared" si="51"/>
        <v>73.159280000000024</v>
      </c>
      <c r="P369" s="110">
        <f>'Detailed Report'!AM365</f>
        <v>0</v>
      </c>
      <c r="Q369" s="110">
        <f>'Detailed Report'!AN365</f>
        <v>0</v>
      </c>
      <c r="R369" s="110">
        <f>'Detailed Report'!AU365/1.14</f>
        <v>23.67543859649123</v>
      </c>
      <c r="S369" s="110">
        <f>'Detailed Report'!AU365-'........... - Otlob'!R369</f>
        <v>3.3145614035087689</v>
      </c>
    </row>
    <row r="370" spans="1:19" ht="14.45" customHeight="1" x14ac:dyDescent="0.25">
      <c r="A370" s="105">
        <f>+IF(B370="","",SUBTOTAL(3,B$8:B370))</f>
        <v>363</v>
      </c>
      <c r="B370" s="106" t="str">
        <f>'Detailed Report'!O366</f>
        <v>Fuddruckers - Concord Plaza Mall</v>
      </c>
      <c r="C370" s="107">
        <f>TRUNC('Detailed Report'!Q366,0)</f>
        <v>46036</v>
      </c>
      <c r="D370" s="108">
        <f>'Detailed Report'!P366</f>
        <v>3398998380</v>
      </c>
      <c r="E370" s="106" t="str">
        <f>'Detailed Report'!S366</f>
        <v>Successful</v>
      </c>
      <c r="F370" s="109">
        <f>IF(E370=$E$6,('Detailed Report'!Y366),IF(E370=$E$5,(0),0))</f>
        <v>639.99</v>
      </c>
      <c r="G370" s="106">
        <f>IF(E370=$E$6,('Detailed Report'!AQ366),IF(E370=$E$5,('Detailed Report'!AW366),0))</f>
        <v>561.39473999999996</v>
      </c>
      <c r="H370" s="106">
        <f>'Detailed Report'!AS366</f>
        <v>140.34869</v>
      </c>
      <c r="I370" s="106">
        <f>'Detailed Report'!AT366</f>
        <v>19.6488166</v>
      </c>
      <c r="J370" s="106">
        <f>'Detailed Report'!AO366</f>
        <v>11.199825000000001</v>
      </c>
      <c r="K370" s="106">
        <f>'Detailed Report'!AP366</f>
        <v>1.5679755</v>
      </c>
      <c r="L370" s="106">
        <f>'Detailed Report'!AU366/1.14</f>
        <v>0</v>
      </c>
      <c r="M370" s="106">
        <f>'Detailed Report'!AU366-L370</f>
        <v>0</v>
      </c>
      <c r="N370" s="110">
        <f>'Detailed Report'!AW366</f>
        <v>467.22500000000002</v>
      </c>
      <c r="O370" s="111">
        <f t="shared" si="51"/>
        <v>94.169739999999933</v>
      </c>
      <c r="P370" s="110">
        <f>'Detailed Report'!AM366</f>
        <v>0</v>
      </c>
      <c r="Q370" s="110">
        <f>'Detailed Report'!AN366</f>
        <v>0</v>
      </c>
      <c r="R370" s="110">
        <f>'Detailed Report'!AU366/1.14</f>
        <v>0</v>
      </c>
      <c r="S370" s="110">
        <f>'Detailed Report'!AU366-'........... - Otlob'!R370</f>
        <v>0</v>
      </c>
    </row>
    <row r="371" spans="1:19" ht="14.45" customHeight="1" x14ac:dyDescent="0.25">
      <c r="A371" s="105">
        <f>+IF(B371="","",SUBTOTAL(3,B$8:B371))</f>
        <v>364</v>
      </c>
      <c r="B371" s="106" t="str">
        <f>'Detailed Report'!O367</f>
        <v>Fuddruckers - New Maadi</v>
      </c>
      <c r="C371" s="107">
        <f>TRUNC('Detailed Report'!Q367,0)</f>
        <v>46036</v>
      </c>
      <c r="D371" s="108">
        <f>'Detailed Report'!P367</f>
        <v>3399006832</v>
      </c>
      <c r="E371" s="106" t="str">
        <f>'Detailed Report'!S367</f>
        <v>Successful</v>
      </c>
      <c r="F371" s="109">
        <f>IF(E371=$E$6,('Detailed Report'!Y367),IF(E371=$E$5,(0),0))</f>
        <v>714.99</v>
      </c>
      <c r="G371" s="106">
        <f>IF(E371=$E$6,('Detailed Report'!AQ367),IF(E371=$E$5,('Detailed Report'!AW367),0))</f>
        <v>627.18421000000001</v>
      </c>
      <c r="H371" s="106">
        <f>'Detailed Report'!AS367</f>
        <v>156.79605000000001</v>
      </c>
      <c r="I371" s="106">
        <f>'Detailed Report'!AT367</f>
        <v>21.951447000000002</v>
      </c>
      <c r="J371" s="106">
        <f>'Detailed Report'!AO367</f>
        <v>12.512325000000001</v>
      </c>
      <c r="K371" s="106">
        <f>'Detailed Report'!AP367</f>
        <v>1.7517255</v>
      </c>
      <c r="L371" s="106">
        <f>'Detailed Report'!AU367/1.14</f>
        <v>0</v>
      </c>
      <c r="M371" s="106">
        <f>'Detailed Report'!AU367-L371</f>
        <v>0</v>
      </c>
      <c r="N371" s="110">
        <f>'Detailed Report'!AW367</f>
        <v>487.77800000000002</v>
      </c>
      <c r="O371" s="111">
        <f t="shared" si="51"/>
        <v>139.40620999999999</v>
      </c>
      <c r="P371" s="110">
        <f>'Detailed Report'!AM367</f>
        <v>30</v>
      </c>
      <c r="Q371" s="110">
        <f>'Detailed Report'!AN367</f>
        <v>4.2</v>
      </c>
      <c r="R371" s="110">
        <f>'Detailed Report'!AU367/1.14</f>
        <v>0</v>
      </c>
      <c r="S371" s="110">
        <f>'Detailed Report'!AU367-'........... - Otlob'!R371</f>
        <v>0</v>
      </c>
    </row>
    <row r="372" spans="1:19" ht="14.45" customHeight="1" x14ac:dyDescent="0.25">
      <c r="A372" s="105">
        <f>+IF(B372="","",SUBTOTAL(3,B$8:B372))</f>
        <v>365</v>
      </c>
      <c r="B372" s="106" t="str">
        <f>'Detailed Report'!O368</f>
        <v>Fuddruckers - Concord Plaza Mall</v>
      </c>
      <c r="C372" s="107">
        <f>TRUNC('Detailed Report'!Q368,0)</f>
        <v>46036</v>
      </c>
      <c r="D372" s="108">
        <f>'Detailed Report'!P368</f>
        <v>3399011389</v>
      </c>
      <c r="E372" s="106" t="str">
        <f>'Detailed Report'!S368</f>
        <v>Successful</v>
      </c>
      <c r="F372" s="109">
        <f>IF(E372=$E$6,('Detailed Report'!Y368),IF(E372=$E$5,(0),0))</f>
        <v>329.99</v>
      </c>
      <c r="G372" s="106">
        <f>IF(E372=$E$6,('Detailed Report'!AQ368),IF(E372=$E$5,('Detailed Report'!AW368),0))</f>
        <v>289.46490999999997</v>
      </c>
      <c r="H372" s="106">
        <f>'Detailed Report'!AS368</f>
        <v>72.366230000000002</v>
      </c>
      <c r="I372" s="106">
        <f>'Detailed Report'!AT368</f>
        <v>10.1312722</v>
      </c>
      <c r="J372" s="106">
        <f>'Detailed Report'!AO368</f>
        <v>5.7748249999999999</v>
      </c>
      <c r="K372" s="106">
        <f>'Detailed Report'!AP368</f>
        <v>0.80847550000000001</v>
      </c>
      <c r="L372" s="106">
        <f>'Detailed Report'!AU368/1.14</f>
        <v>29.815789473684216</v>
      </c>
      <c r="M372" s="106">
        <f>'Detailed Report'!AU368-L372</f>
        <v>4.174210526315786</v>
      </c>
      <c r="N372" s="110">
        <f>'Detailed Report'!AW368</f>
        <v>206.91900000000001</v>
      </c>
      <c r="O372" s="111">
        <f t="shared" si="51"/>
        <v>82.545909999999964</v>
      </c>
      <c r="P372" s="110">
        <f>'Detailed Report'!AM368</f>
        <v>0</v>
      </c>
      <c r="Q372" s="110">
        <f>'Detailed Report'!AN368</f>
        <v>0</v>
      </c>
      <c r="R372" s="110">
        <f>'Detailed Report'!AU368/1.14</f>
        <v>29.815789473684216</v>
      </c>
      <c r="S372" s="110">
        <f>'Detailed Report'!AU368-'........... - Otlob'!R372</f>
        <v>4.174210526315786</v>
      </c>
    </row>
    <row r="373" spans="1:19" ht="14.45" customHeight="1" x14ac:dyDescent="0.25">
      <c r="A373" s="105">
        <f>+IF(B373="","",SUBTOTAL(3,B$8:B373))</f>
        <v>366</v>
      </c>
      <c r="B373" s="106" t="str">
        <f>'Detailed Report'!O369</f>
        <v>Fuddruckers - New Maadi</v>
      </c>
      <c r="C373" s="107">
        <f>TRUNC('Detailed Report'!Q369,0)</f>
        <v>46036</v>
      </c>
      <c r="D373" s="108">
        <f>'Detailed Report'!P369</f>
        <v>3399015860</v>
      </c>
      <c r="E373" s="106" t="str">
        <f>'Detailed Report'!S369</f>
        <v>Successful</v>
      </c>
      <c r="F373" s="109">
        <f>IF(E373=$E$6,('Detailed Report'!Y369),IF(E373=$E$5,(0),0))</f>
        <v>420.98</v>
      </c>
      <c r="G373" s="106">
        <f>IF(E373=$E$6,('Detailed Report'!AQ369),IF(E373=$E$5,('Detailed Report'!AW369),0))</f>
        <v>369.28070000000002</v>
      </c>
      <c r="H373" s="106">
        <f>'Detailed Report'!AS369</f>
        <v>92.320179999999993</v>
      </c>
      <c r="I373" s="106">
        <f>'Detailed Report'!AT369</f>
        <v>12.924825200000001</v>
      </c>
      <c r="J373" s="106">
        <f>'Detailed Report'!AO369</f>
        <v>7.3671499999999996</v>
      </c>
      <c r="K373" s="106">
        <f>'Detailed Report'!AP369</f>
        <v>1.031401</v>
      </c>
      <c r="L373" s="106">
        <f>'Detailed Report'!AU369/1.14</f>
        <v>26.307017543859651</v>
      </c>
      <c r="M373" s="106">
        <f>'Detailed Report'!AU369-L373</f>
        <v>3.6829824561403477</v>
      </c>
      <c r="N373" s="110">
        <f>'Detailed Report'!AW369</f>
        <v>243.14599999999999</v>
      </c>
      <c r="O373" s="111">
        <f t="shared" si="51"/>
        <v>126.13470000000004</v>
      </c>
      <c r="P373" s="110">
        <f>'Detailed Report'!AM369</f>
        <v>30</v>
      </c>
      <c r="Q373" s="110">
        <f>'Detailed Report'!AN369</f>
        <v>4.2</v>
      </c>
      <c r="R373" s="110">
        <f>'Detailed Report'!AU369/1.14</f>
        <v>26.307017543859651</v>
      </c>
      <c r="S373" s="110">
        <f>'Detailed Report'!AU369-'........... - Otlob'!R373</f>
        <v>3.6829824561403477</v>
      </c>
    </row>
    <row r="374" spans="1:19" ht="14.45" customHeight="1" x14ac:dyDescent="0.25">
      <c r="A374" s="105">
        <f>+IF(B374="","",SUBTOTAL(3,B$8:B374))</f>
        <v>367</v>
      </c>
      <c r="B374" s="106" t="str">
        <f>'Detailed Report'!O370</f>
        <v>Fuddruckers - New Maadi</v>
      </c>
      <c r="C374" s="107">
        <f>TRUNC('Detailed Report'!Q370,0)</f>
        <v>46036</v>
      </c>
      <c r="D374" s="108">
        <f>'Detailed Report'!P370</f>
        <v>3399170781</v>
      </c>
      <c r="E374" s="106" t="str">
        <f>'Detailed Report'!S370</f>
        <v>Successful</v>
      </c>
      <c r="F374" s="109">
        <f>IF(E374=$E$6,('Detailed Report'!Y370),IF(E374=$E$5,(0),0))</f>
        <v>453.98</v>
      </c>
      <c r="G374" s="106">
        <f>IF(E374=$E$6,('Detailed Report'!AQ370),IF(E374=$E$5,('Detailed Report'!AW370),0))</f>
        <v>398.22807</v>
      </c>
      <c r="H374" s="106">
        <f>'Detailed Report'!AS370</f>
        <v>99.557019999999994</v>
      </c>
      <c r="I374" s="106">
        <f>'Detailed Report'!AT370</f>
        <v>13.9379828</v>
      </c>
      <c r="J374" s="106">
        <f>'Detailed Report'!AO370</f>
        <v>7.9446500000000002</v>
      </c>
      <c r="K374" s="106">
        <f>'Detailed Report'!AP370</f>
        <v>1.1122510000000001</v>
      </c>
      <c r="L374" s="106">
        <f>'Detailed Report'!AU370/1.14</f>
        <v>0</v>
      </c>
      <c r="M374" s="106">
        <f>'Detailed Report'!AU370-L374</f>
        <v>0</v>
      </c>
      <c r="N374" s="110">
        <f>'Detailed Report'!AW370</f>
        <v>331.428</v>
      </c>
      <c r="O374" s="111">
        <f t="shared" si="51"/>
        <v>66.800070000000005</v>
      </c>
      <c r="P374" s="110">
        <f>'Detailed Report'!AM370</f>
        <v>0</v>
      </c>
      <c r="Q374" s="110">
        <f>'Detailed Report'!AN370</f>
        <v>0</v>
      </c>
      <c r="R374" s="110">
        <f>'Detailed Report'!AU370/1.14</f>
        <v>0</v>
      </c>
      <c r="S374" s="110">
        <f>'Detailed Report'!AU370-'........... - Otlob'!R374</f>
        <v>0</v>
      </c>
    </row>
    <row r="375" spans="1:19" ht="14.45" customHeight="1" x14ac:dyDescent="0.25">
      <c r="A375" s="105">
        <f>+IF(B375="","",SUBTOTAL(3,B$8:B375))</f>
        <v>368</v>
      </c>
      <c r="B375" s="106" t="str">
        <f>'Detailed Report'!O371</f>
        <v>Fuddruckers - Concord Plaza Mall</v>
      </c>
      <c r="C375" s="107">
        <f>TRUNC('Detailed Report'!Q371,0)</f>
        <v>46036</v>
      </c>
      <c r="D375" s="108">
        <f>'Detailed Report'!P371</f>
        <v>3399233684</v>
      </c>
      <c r="E375" s="106" t="str">
        <f>'Detailed Report'!S371</f>
        <v>Successful</v>
      </c>
      <c r="F375" s="109">
        <f>IF(E375=$E$6,('Detailed Report'!Y371),IF(E375=$E$5,(0),0))</f>
        <v>1689.78</v>
      </c>
      <c r="G375" s="106">
        <f>IF(E375=$E$6,('Detailed Report'!AQ371),IF(E375=$E$5,('Detailed Report'!AW371),0))</f>
        <v>1482.26316</v>
      </c>
      <c r="H375" s="106">
        <f>'Detailed Report'!AS371</f>
        <v>370.56578999999999</v>
      </c>
      <c r="I375" s="106">
        <f>'Detailed Report'!AT371</f>
        <v>51.8792106</v>
      </c>
      <c r="J375" s="106">
        <f>'Detailed Report'!AO371</f>
        <v>0</v>
      </c>
      <c r="K375" s="106">
        <f>'Detailed Report'!AP371</f>
        <v>0</v>
      </c>
      <c r="L375" s="106">
        <f>'Detailed Report'!AU371/1.14</f>
        <v>30.692982456140356</v>
      </c>
      <c r="M375" s="106">
        <f>'Detailed Report'!AU371-L375</f>
        <v>4.2970175438596456</v>
      </c>
      <c r="N375" s="110">
        <f>'Detailed Report'!AW371</f>
        <v>1232.345</v>
      </c>
      <c r="O375" s="111">
        <f t="shared" si="51"/>
        <v>249.91815999999994</v>
      </c>
      <c r="P375" s="110">
        <f>'Detailed Report'!AM371</f>
        <v>0</v>
      </c>
      <c r="Q375" s="110">
        <f>'Detailed Report'!AN371</f>
        <v>0</v>
      </c>
      <c r="R375" s="110">
        <f>'Detailed Report'!AU371/1.14</f>
        <v>30.692982456140356</v>
      </c>
      <c r="S375" s="110">
        <f>'Detailed Report'!AU371-'........... - Otlob'!R375</f>
        <v>4.2970175438596456</v>
      </c>
    </row>
    <row r="376" spans="1:19" ht="14.45" customHeight="1" x14ac:dyDescent="0.25">
      <c r="A376" s="105">
        <f>+IF(B376="","",SUBTOTAL(3,B$8:B376))</f>
        <v>369</v>
      </c>
      <c r="B376" s="106" t="str">
        <f>'Detailed Report'!O372</f>
        <v>Fuddruckers - New Maadi</v>
      </c>
      <c r="C376" s="107">
        <f>TRUNC('Detailed Report'!Q372,0)</f>
        <v>46036</v>
      </c>
      <c r="D376" s="108">
        <f>'Detailed Report'!P372</f>
        <v>3399234751</v>
      </c>
      <c r="E376" s="106" t="str">
        <f>'Detailed Report'!S372</f>
        <v>Successful</v>
      </c>
      <c r="F376" s="109">
        <f>IF(E376=$E$6,('Detailed Report'!Y372),IF(E376=$E$5,(0),0))</f>
        <v>921.56</v>
      </c>
      <c r="G376" s="106">
        <f>IF(E376=$E$6,('Detailed Report'!AQ372),IF(E376=$E$5,('Detailed Report'!AW372),0))</f>
        <v>808.38595999999995</v>
      </c>
      <c r="H376" s="106">
        <f>'Detailed Report'!AS372</f>
        <v>202.09648999999999</v>
      </c>
      <c r="I376" s="106">
        <f>'Detailed Report'!AT372</f>
        <v>28.293508599999999</v>
      </c>
      <c r="J376" s="106">
        <f>'Detailed Report'!AO372</f>
        <v>16.127300000000002</v>
      </c>
      <c r="K376" s="106">
        <f>'Detailed Report'!AP372</f>
        <v>2.257822</v>
      </c>
      <c r="L376" s="106">
        <f>'Detailed Report'!AU372/1.14</f>
        <v>0</v>
      </c>
      <c r="M376" s="106">
        <f>'Detailed Report'!AU372-L376</f>
        <v>0</v>
      </c>
      <c r="N376" s="110">
        <f>'Detailed Report'!AW372</f>
        <v>672.78499999999997</v>
      </c>
      <c r="O376" s="111">
        <f t="shared" si="51"/>
        <v>135.60095999999999</v>
      </c>
      <c r="P376" s="110">
        <f>'Detailed Report'!AM372</f>
        <v>0</v>
      </c>
      <c r="Q376" s="110">
        <f>'Detailed Report'!AN372</f>
        <v>0</v>
      </c>
      <c r="R376" s="110">
        <f>'Detailed Report'!AU372/1.14</f>
        <v>0</v>
      </c>
      <c r="S376" s="110">
        <f>'Detailed Report'!AU372-'........... - Otlob'!R376</f>
        <v>0</v>
      </c>
    </row>
    <row r="377" spans="1:19" ht="14.45" customHeight="1" x14ac:dyDescent="0.25">
      <c r="A377" s="105">
        <f>+IF(B377="","",SUBTOTAL(3,B$8:B377))</f>
        <v>370</v>
      </c>
      <c r="B377" s="106" t="str">
        <f>'Detailed Report'!O373</f>
        <v>Fuddruckers - Concord Plaza Mall</v>
      </c>
      <c r="C377" s="107">
        <f>TRUNC('Detailed Report'!Q373,0)</f>
        <v>46036</v>
      </c>
      <c r="D377" s="108">
        <f>'Detailed Report'!P373</f>
        <v>3399264875</v>
      </c>
      <c r="E377" s="106" t="str">
        <f>'Detailed Report'!S373</f>
        <v>Successful</v>
      </c>
      <c r="F377" s="109">
        <f>IF(E377=$E$6,('Detailed Report'!Y373),IF(E377=$E$5,(0),0))</f>
        <v>566.14</v>
      </c>
      <c r="G377" s="106">
        <f>IF(E377=$E$6,('Detailed Report'!AQ373),IF(E377=$E$5,('Detailed Report'!AW373),0))</f>
        <v>496.61403999999999</v>
      </c>
      <c r="H377" s="106">
        <f>'Detailed Report'!AS373</f>
        <v>124.15351</v>
      </c>
      <c r="I377" s="106">
        <f>'Detailed Report'!AT373</f>
        <v>17.381491400000002</v>
      </c>
      <c r="J377" s="106">
        <f>'Detailed Report'!AO373</f>
        <v>0</v>
      </c>
      <c r="K377" s="106">
        <f>'Detailed Report'!AP373</f>
        <v>0</v>
      </c>
      <c r="L377" s="106">
        <f>'Detailed Report'!AU373/1.14</f>
        <v>0</v>
      </c>
      <c r="M377" s="106">
        <f>'Detailed Report'!AU373-L377</f>
        <v>0</v>
      </c>
      <c r="N377" s="110">
        <f>'Detailed Report'!AW373</f>
        <v>424.60500000000002</v>
      </c>
      <c r="O377" s="111">
        <f t="shared" si="51"/>
        <v>72.00903999999997</v>
      </c>
      <c r="P377" s="110">
        <f>'Detailed Report'!AM373</f>
        <v>0</v>
      </c>
      <c r="Q377" s="110">
        <f>'Detailed Report'!AN373</f>
        <v>0</v>
      </c>
      <c r="R377" s="110">
        <f>'Detailed Report'!AU373/1.14</f>
        <v>0</v>
      </c>
      <c r="S377" s="110">
        <f>'Detailed Report'!AU373-'........... - Otlob'!R377</f>
        <v>0</v>
      </c>
    </row>
    <row r="378" spans="1:19" ht="14.45" customHeight="1" x14ac:dyDescent="0.25">
      <c r="A378" s="105">
        <f>+IF(B378="","",SUBTOTAL(3,B$8:B378))</f>
        <v>371</v>
      </c>
      <c r="B378" s="106" t="str">
        <f>'Detailed Report'!O374</f>
        <v>Fuddruckers - New Maadi</v>
      </c>
      <c r="C378" s="107">
        <f>TRUNC('Detailed Report'!Q374,0)</f>
        <v>46036</v>
      </c>
      <c r="D378" s="108">
        <f>'Detailed Report'!P374</f>
        <v>3399282578</v>
      </c>
      <c r="E378" s="106" t="str">
        <f>'Detailed Report'!S374</f>
        <v>Successful</v>
      </c>
      <c r="F378" s="109">
        <f>IF(E378=$E$6,('Detailed Report'!Y374),IF(E378=$E$5,(0),0))</f>
        <v>858.97</v>
      </c>
      <c r="G378" s="106">
        <f>IF(E378=$E$6,('Detailed Report'!AQ374),IF(E378=$E$5,('Detailed Report'!AW374),0))</f>
        <v>753.48245999999995</v>
      </c>
      <c r="H378" s="106">
        <f>'Detailed Report'!AS374</f>
        <v>188.37062</v>
      </c>
      <c r="I378" s="106">
        <f>'Detailed Report'!AT374</f>
        <v>26.371886799999999</v>
      </c>
      <c r="J378" s="106">
        <f>'Detailed Report'!AO374</f>
        <v>15.031974999999999</v>
      </c>
      <c r="K378" s="106">
        <f>'Detailed Report'!AP374</f>
        <v>2.1044765000000001</v>
      </c>
      <c r="L378" s="106">
        <f>'Detailed Report'!AU374/1.14</f>
        <v>26.307017543859651</v>
      </c>
      <c r="M378" s="106">
        <f>'Detailed Report'!AU374-L378</f>
        <v>3.6829824561403477</v>
      </c>
      <c r="N378" s="110">
        <f>'Detailed Report'!AW374</f>
        <v>597.101</v>
      </c>
      <c r="O378" s="111">
        <f t="shared" si="51"/>
        <v>156.38145999999995</v>
      </c>
      <c r="P378" s="110">
        <f>'Detailed Report'!AM374</f>
        <v>0</v>
      </c>
      <c r="Q378" s="110">
        <f>'Detailed Report'!AN374</f>
        <v>0</v>
      </c>
      <c r="R378" s="110">
        <f>'Detailed Report'!AU374/1.14</f>
        <v>26.307017543859651</v>
      </c>
      <c r="S378" s="110">
        <f>'Detailed Report'!AU374-'........... - Otlob'!R378</f>
        <v>3.6829824561403477</v>
      </c>
    </row>
    <row r="379" spans="1:19" ht="14.45" customHeight="1" x14ac:dyDescent="0.25">
      <c r="A379" s="105">
        <f>+IF(B379="","",SUBTOTAL(3,B$8:B379))</f>
        <v>372</v>
      </c>
      <c r="B379" s="106" t="str">
        <f>'Detailed Report'!O375</f>
        <v>Fuddruckers - New Maadi</v>
      </c>
      <c r="C379" s="107">
        <f>TRUNC('Detailed Report'!Q375,0)</f>
        <v>46036</v>
      </c>
      <c r="D379" s="108">
        <f>'Detailed Report'!P375</f>
        <v>3399295933</v>
      </c>
      <c r="E379" s="106" t="str">
        <f>'Detailed Report'!S375</f>
        <v>Successful</v>
      </c>
      <c r="F379" s="109">
        <f>IF(E379=$E$6,('Detailed Report'!Y375),IF(E379=$E$5,(0),0))</f>
        <v>1547.78</v>
      </c>
      <c r="G379" s="106">
        <f>IF(E379=$E$6,('Detailed Report'!AQ375),IF(E379=$E$5,('Detailed Report'!AW375),0))</f>
        <v>1357.7017499999999</v>
      </c>
      <c r="H379" s="106">
        <f>'Detailed Report'!AS375</f>
        <v>339.42543999999998</v>
      </c>
      <c r="I379" s="106">
        <f>'Detailed Report'!AT375</f>
        <v>47.519561600000003</v>
      </c>
      <c r="J379" s="106">
        <f>'Detailed Report'!AO375</f>
        <v>27.08615</v>
      </c>
      <c r="K379" s="106">
        <f>'Detailed Report'!AP375</f>
        <v>3.7920609999999999</v>
      </c>
      <c r="L379" s="106">
        <f>'Detailed Report'!AU375/1.14</f>
        <v>0</v>
      </c>
      <c r="M379" s="106">
        <f>'Detailed Report'!AU375-L379</f>
        <v>0</v>
      </c>
      <c r="N379" s="110">
        <f>'Detailed Report'!AW375</f>
        <v>1129.9570000000001</v>
      </c>
      <c r="O379" s="111">
        <f t="shared" si="51"/>
        <v>227.74474999999984</v>
      </c>
      <c r="P379" s="110">
        <f>'Detailed Report'!AM375</f>
        <v>0</v>
      </c>
      <c r="Q379" s="110">
        <f>'Detailed Report'!AN375</f>
        <v>0</v>
      </c>
      <c r="R379" s="110">
        <f>'Detailed Report'!AU375/1.14</f>
        <v>0</v>
      </c>
      <c r="S379" s="110">
        <f>'Detailed Report'!AU375-'........... - Otlob'!R379</f>
        <v>0</v>
      </c>
    </row>
    <row r="380" spans="1:19" ht="14.45" customHeight="1" x14ac:dyDescent="0.25">
      <c r="A380" s="105">
        <f>+IF(B380="","",SUBTOTAL(3,B$8:B380))</f>
        <v>373</v>
      </c>
      <c r="B380" s="106" t="str">
        <f>'Detailed Report'!O376</f>
        <v>Fuddruckers - City Stars</v>
      </c>
      <c r="C380" s="107">
        <f>TRUNC('Detailed Report'!Q376,0)</f>
        <v>46036</v>
      </c>
      <c r="D380" s="108">
        <f>'Detailed Report'!P376</f>
        <v>3399389432</v>
      </c>
      <c r="E380" s="106" t="str">
        <f>'Detailed Report'!S376</f>
        <v>Successful</v>
      </c>
      <c r="F380" s="109">
        <f>IF(E380=$E$6,('Detailed Report'!Y376),IF(E380=$E$5,(0),0))</f>
        <v>518.01</v>
      </c>
      <c r="G380" s="106">
        <f>IF(E380=$E$6,('Detailed Report'!AQ376),IF(E380=$E$5,('Detailed Report'!AW376),0))</f>
        <v>454.39474000000001</v>
      </c>
      <c r="H380" s="106">
        <f>'Detailed Report'!AS376</f>
        <v>113.59869</v>
      </c>
      <c r="I380" s="106">
        <f>'Detailed Report'!AT376</f>
        <v>15.903816600000001</v>
      </c>
      <c r="J380" s="106">
        <f>'Detailed Report'!AO376</f>
        <v>9.065175</v>
      </c>
      <c r="K380" s="106">
        <f>'Detailed Report'!AP376</f>
        <v>1.2691245</v>
      </c>
      <c r="L380" s="106">
        <f>'Detailed Report'!AU376/1.14</f>
        <v>23.67543859649123</v>
      </c>
      <c r="M380" s="106">
        <f>'Detailed Report'!AU376-L380</f>
        <v>3.3145614035087689</v>
      </c>
      <c r="N380" s="110">
        <f>'Detailed Report'!AW376</f>
        <v>351.18299999999999</v>
      </c>
      <c r="O380" s="111">
        <f t="shared" si="51"/>
        <v>103.21174000000002</v>
      </c>
      <c r="P380" s="110">
        <f>'Detailed Report'!AM376</f>
        <v>0</v>
      </c>
      <c r="Q380" s="110">
        <f>'Detailed Report'!AN376</f>
        <v>0</v>
      </c>
      <c r="R380" s="110">
        <f>'Detailed Report'!AU376/1.14</f>
        <v>23.67543859649123</v>
      </c>
      <c r="S380" s="110">
        <f>'Detailed Report'!AU376-'........... - Otlob'!R380</f>
        <v>3.3145614035087689</v>
      </c>
    </row>
    <row r="381" spans="1:19" ht="14.45" customHeight="1" x14ac:dyDescent="0.25">
      <c r="A381" s="105">
        <f>+IF(B381="","",SUBTOTAL(3,B$8:B381))</f>
        <v>374</v>
      </c>
      <c r="B381" s="106" t="str">
        <f>'Detailed Report'!O377</f>
        <v>Fuddruckers - New Maadi</v>
      </c>
      <c r="C381" s="107">
        <f>TRUNC('Detailed Report'!Q377,0)</f>
        <v>46036</v>
      </c>
      <c r="D381" s="108">
        <f>'Detailed Report'!P377</f>
        <v>3399427730</v>
      </c>
      <c r="E381" s="106" t="str">
        <f>'Detailed Report'!S377</f>
        <v>Successful</v>
      </c>
      <c r="F381" s="109">
        <f>IF(E381=$E$6,('Detailed Report'!Y377),IF(E381=$E$5,(0),0))</f>
        <v>984.98</v>
      </c>
      <c r="G381" s="106">
        <f>IF(E381=$E$6,('Detailed Report'!AQ377),IF(E381=$E$5,('Detailed Report'!AW377),0))</f>
        <v>864.01754000000005</v>
      </c>
      <c r="H381" s="106">
        <f>'Detailed Report'!AS377</f>
        <v>216.00439</v>
      </c>
      <c r="I381" s="106">
        <f>'Detailed Report'!AT377</f>
        <v>30.240614600000001</v>
      </c>
      <c r="J381" s="106">
        <f>'Detailed Report'!AO377</f>
        <v>17.23715</v>
      </c>
      <c r="K381" s="106">
        <f>'Detailed Report'!AP377</f>
        <v>2.4132009999999999</v>
      </c>
      <c r="L381" s="106">
        <f>'Detailed Report'!AU377/1.14</f>
        <v>0</v>
      </c>
      <c r="M381" s="106">
        <f>'Detailed Report'!AU377-L381</f>
        <v>0</v>
      </c>
      <c r="N381" s="110">
        <f>'Detailed Report'!AW377</f>
        <v>719.08500000000004</v>
      </c>
      <c r="O381" s="111">
        <f t="shared" si="51"/>
        <v>144.93254000000002</v>
      </c>
      <c r="P381" s="110">
        <f>'Detailed Report'!AM377</f>
        <v>0</v>
      </c>
      <c r="Q381" s="110">
        <f>'Detailed Report'!AN377</f>
        <v>0</v>
      </c>
      <c r="R381" s="110">
        <f>'Detailed Report'!AU377/1.14</f>
        <v>0</v>
      </c>
      <c r="S381" s="110">
        <f>'Detailed Report'!AU377-'........... - Otlob'!R381</f>
        <v>0</v>
      </c>
    </row>
    <row r="382" spans="1:19" ht="14.45" customHeight="1" x14ac:dyDescent="0.25">
      <c r="A382" s="105">
        <f>+IF(B382="","",SUBTOTAL(3,B$8:B382))</f>
        <v>375</v>
      </c>
      <c r="B382" s="106" t="str">
        <f>'Detailed Report'!O378</f>
        <v>Fuddruckers - Concord Plaza Mall</v>
      </c>
      <c r="C382" s="107">
        <f>TRUNC('Detailed Report'!Q378,0)</f>
        <v>46036</v>
      </c>
      <c r="D382" s="108">
        <f>'Detailed Report'!P378</f>
        <v>3399482923</v>
      </c>
      <c r="E382" s="106" t="str">
        <f>'Detailed Report'!S378</f>
        <v>Successful</v>
      </c>
      <c r="F382" s="109">
        <f>IF(E382=$E$6,('Detailed Report'!Y378),IF(E382=$E$5,(0),0))</f>
        <v>659.98</v>
      </c>
      <c r="G382" s="106">
        <f>IF(E382=$E$6,('Detailed Report'!AQ378),IF(E382=$E$5,('Detailed Report'!AW378),0))</f>
        <v>578.92981999999995</v>
      </c>
      <c r="H382" s="106">
        <f>'Detailed Report'!AS378</f>
        <v>144.73246</v>
      </c>
      <c r="I382" s="106">
        <f>'Detailed Report'!AT378</f>
        <v>20.262544399999999</v>
      </c>
      <c r="J382" s="106">
        <f>'Detailed Report'!AO378</f>
        <v>11.54965</v>
      </c>
      <c r="K382" s="106">
        <f>'Detailed Report'!AP378</f>
        <v>1.616951</v>
      </c>
      <c r="L382" s="106">
        <f>'Detailed Report'!AU378/1.14</f>
        <v>0</v>
      </c>
      <c r="M382" s="106">
        <f>'Detailed Report'!AU378-L382</f>
        <v>0</v>
      </c>
      <c r="N382" s="110">
        <f>'Detailed Report'!AW378</f>
        <v>481.81799999999998</v>
      </c>
      <c r="O382" s="111">
        <f t="shared" si="51"/>
        <v>97.111819999999966</v>
      </c>
      <c r="P382" s="110">
        <f>'Detailed Report'!AM378</f>
        <v>0</v>
      </c>
      <c r="Q382" s="110">
        <f>'Detailed Report'!AN378</f>
        <v>0</v>
      </c>
      <c r="R382" s="110">
        <f>'Detailed Report'!AU378/1.14</f>
        <v>0</v>
      </c>
      <c r="S382" s="110">
        <f>'Detailed Report'!AU378-'........... - Otlob'!R382</f>
        <v>0</v>
      </c>
    </row>
    <row r="383" spans="1:19" ht="14.45" customHeight="1" x14ac:dyDescent="0.25">
      <c r="A383" s="105">
        <f>+IF(B383="","",SUBTOTAL(3,B$8:B383))</f>
        <v>376</v>
      </c>
      <c r="B383" s="106" t="str">
        <f>'Detailed Report'!O379</f>
        <v>Fuddruckers - Concord Plaza Mall</v>
      </c>
      <c r="C383" s="107">
        <f>TRUNC('Detailed Report'!Q379,0)</f>
        <v>46036</v>
      </c>
      <c r="D383" s="108">
        <f>'Detailed Report'!P379</f>
        <v>3399587197</v>
      </c>
      <c r="E383" s="106" t="str">
        <f>'Detailed Report'!S379</f>
        <v>Successful</v>
      </c>
      <c r="F383" s="109">
        <f>IF(E383=$E$6,('Detailed Report'!Y379),IF(E383=$E$5,(0),0))</f>
        <v>669.96</v>
      </c>
      <c r="G383" s="106">
        <f>IF(E383=$E$6,('Detailed Report'!AQ379),IF(E383=$E$5,('Detailed Report'!AW379),0))</f>
        <v>587.68421000000001</v>
      </c>
      <c r="H383" s="106">
        <f>'Detailed Report'!AS379</f>
        <v>146.92105000000001</v>
      </c>
      <c r="I383" s="106">
        <f>'Detailed Report'!AT379</f>
        <v>20.568947000000001</v>
      </c>
      <c r="J383" s="106">
        <f>'Detailed Report'!AO379</f>
        <v>11.724299999999999</v>
      </c>
      <c r="K383" s="106">
        <f>'Detailed Report'!AP379</f>
        <v>1.641402</v>
      </c>
      <c r="L383" s="106">
        <f>'Detailed Report'!AU379/1.14</f>
        <v>27.184210526315791</v>
      </c>
      <c r="M383" s="106">
        <f>'Detailed Report'!AU379-L383</f>
        <v>3.8057894736842073</v>
      </c>
      <c r="N383" s="110">
        <f>'Detailed Report'!AW379</f>
        <v>458.11399999999998</v>
      </c>
      <c r="O383" s="111">
        <f t="shared" si="51"/>
        <v>129.57021000000003</v>
      </c>
      <c r="P383" s="110">
        <f>'Detailed Report'!AM379</f>
        <v>0</v>
      </c>
      <c r="Q383" s="110">
        <f>'Detailed Report'!AN379</f>
        <v>0</v>
      </c>
      <c r="R383" s="110">
        <f>'Detailed Report'!AU379/1.14</f>
        <v>27.184210526315791</v>
      </c>
      <c r="S383" s="110">
        <f>'Detailed Report'!AU379-'........... - Otlob'!R383</f>
        <v>3.8057894736842073</v>
      </c>
    </row>
    <row r="384" spans="1:19" ht="14.45" customHeight="1" x14ac:dyDescent="0.25">
      <c r="A384" s="105">
        <f>+IF(B384="","",SUBTOTAL(3,B$8:B384))</f>
        <v>377</v>
      </c>
      <c r="B384" s="106" t="str">
        <f>'Detailed Report'!O380</f>
        <v>Fuddruckers - Concord Plaza Mall</v>
      </c>
      <c r="C384" s="107">
        <f>TRUNC('Detailed Report'!Q380,0)</f>
        <v>46036</v>
      </c>
      <c r="D384" s="108">
        <f>'Detailed Report'!P380</f>
        <v>3399589338</v>
      </c>
      <c r="E384" s="106" t="str">
        <f>'Detailed Report'!S380</f>
        <v>Successful</v>
      </c>
      <c r="F384" s="109">
        <f>IF(E384=$E$6,('Detailed Report'!Y380),IF(E384=$E$5,(0),0))</f>
        <v>445.99</v>
      </c>
      <c r="G384" s="106">
        <f>IF(E384=$E$6,('Detailed Report'!AQ380),IF(E384=$E$5,('Detailed Report'!AW380),0))</f>
        <v>391.21929999999998</v>
      </c>
      <c r="H384" s="106">
        <f>'Detailed Report'!AS380</f>
        <v>97.804829999999995</v>
      </c>
      <c r="I384" s="106">
        <f>'Detailed Report'!AT380</f>
        <v>13.692676199999999</v>
      </c>
      <c r="J384" s="106">
        <f>'Detailed Report'!AO380</f>
        <v>7.8048250000000001</v>
      </c>
      <c r="K384" s="106">
        <f>'Detailed Report'!AP380</f>
        <v>1.0926754999999999</v>
      </c>
      <c r="L384" s="106">
        <f>'Detailed Report'!AU380/1.14</f>
        <v>0</v>
      </c>
      <c r="M384" s="106">
        <f>'Detailed Report'!AU380-L384</f>
        <v>0</v>
      </c>
      <c r="N384" s="110">
        <f>'Detailed Report'!AW380</f>
        <v>325.59500000000003</v>
      </c>
      <c r="O384" s="111">
        <f t="shared" si="51"/>
        <v>65.624299999999948</v>
      </c>
      <c r="P384" s="110">
        <f>'Detailed Report'!AM380</f>
        <v>0</v>
      </c>
      <c r="Q384" s="110">
        <f>'Detailed Report'!AN380</f>
        <v>0</v>
      </c>
      <c r="R384" s="110">
        <f>'Detailed Report'!AU380/1.14</f>
        <v>0</v>
      </c>
      <c r="S384" s="110">
        <f>'Detailed Report'!AU380-'........... - Otlob'!R384</f>
        <v>0</v>
      </c>
    </row>
    <row r="385" spans="1:19" ht="14.45" customHeight="1" x14ac:dyDescent="0.25">
      <c r="A385" s="105">
        <f>+IF(B385="","",SUBTOTAL(3,B$8:B385))</f>
        <v>378</v>
      </c>
      <c r="B385" s="106" t="str">
        <f>'Detailed Report'!O381</f>
        <v>Fuddruckers - Concord Plaza Mall</v>
      </c>
      <c r="C385" s="107">
        <f>TRUNC('Detailed Report'!Q381,0)</f>
        <v>46036</v>
      </c>
      <c r="D385" s="108">
        <f>'Detailed Report'!P381</f>
        <v>3399657024</v>
      </c>
      <c r="E385" s="106" t="str">
        <f>'Detailed Report'!S381</f>
        <v>Successful</v>
      </c>
      <c r="F385" s="109">
        <f>IF(E385=$E$6,('Detailed Report'!Y381),IF(E385=$E$5,(0),0))</f>
        <v>1583.97</v>
      </c>
      <c r="G385" s="106">
        <f>IF(E385=$E$6,('Detailed Report'!AQ381),IF(E385=$E$5,('Detailed Report'!AW381),0))</f>
        <v>1389.4473700000001</v>
      </c>
      <c r="H385" s="106">
        <f>'Detailed Report'!AS381</f>
        <v>347.36183999999997</v>
      </c>
      <c r="I385" s="106">
        <f>'Detailed Report'!AT381</f>
        <v>48.630657599999999</v>
      </c>
      <c r="J385" s="106">
        <f>'Detailed Report'!AO381</f>
        <v>27.719474999999999</v>
      </c>
      <c r="K385" s="106">
        <f>'Detailed Report'!AP381</f>
        <v>3.8807265000000002</v>
      </c>
      <c r="L385" s="106">
        <f>'Detailed Report'!AU381/1.14</f>
        <v>27.184210526315791</v>
      </c>
      <c r="M385" s="106">
        <f>'Detailed Report'!AU381-L385</f>
        <v>3.8057894736842073</v>
      </c>
      <c r="N385" s="110">
        <f>'Detailed Report'!AW381</f>
        <v>1125.3869999999999</v>
      </c>
      <c r="O385" s="111">
        <f t="shared" si="51"/>
        <v>264.06037000000015</v>
      </c>
      <c r="P385" s="110">
        <f>'Detailed Report'!AM381</f>
        <v>0</v>
      </c>
      <c r="Q385" s="110">
        <f>'Detailed Report'!AN381</f>
        <v>0</v>
      </c>
      <c r="R385" s="110">
        <f>'Detailed Report'!AU381/1.14</f>
        <v>27.184210526315791</v>
      </c>
      <c r="S385" s="110">
        <f>'Detailed Report'!AU381-'........... - Otlob'!R385</f>
        <v>3.8057894736842073</v>
      </c>
    </row>
    <row r="386" spans="1:19" ht="14.45" customHeight="1" x14ac:dyDescent="0.25">
      <c r="A386" s="105">
        <f>+IF(B386="","",SUBTOTAL(3,B$8:B386))</f>
        <v>379</v>
      </c>
      <c r="B386" s="106" t="str">
        <f>'Detailed Report'!O382</f>
        <v>Fuddruckers - New Maadi</v>
      </c>
      <c r="C386" s="107">
        <f>TRUNC('Detailed Report'!Q382,0)</f>
        <v>46036</v>
      </c>
      <c r="D386" s="108">
        <f>'Detailed Report'!P382</f>
        <v>3399769994</v>
      </c>
      <c r="E386" s="106" t="str">
        <f>'Detailed Report'!S382</f>
        <v>Successful</v>
      </c>
      <c r="F386" s="109">
        <f>IF(E386=$E$6,('Detailed Report'!Y382),IF(E386=$E$5,(0),0))</f>
        <v>341.58</v>
      </c>
      <c r="G386" s="106">
        <f>IF(E386=$E$6,('Detailed Report'!AQ382),IF(E386=$E$5,('Detailed Report'!AW382),0))</f>
        <v>299.63157999999999</v>
      </c>
      <c r="H386" s="106">
        <f>'Detailed Report'!AS382</f>
        <v>74.907899999999998</v>
      </c>
      <c r="I386" s="106">
        <f>'Detailed Report'!AT382</f>
        <v>10.487106000000001</v>
      </c>
      <c r="J386" s="106">
        <f>'Detailed Report'!AO382</f>
        <v>5.9776499999999997</v>
      </c>
      <c r="K386" s="106">
        <f>'Detailed Report'!AP382</f>
        <v>0.83687100000000003</v>
      </c>
      <c r="L386" s="106">
        <f>'Detailed Report'!AU382/1.14</f>
        <v>27.184210526315791</v>
      </c>
      <c r="M386" s="106">
        <f>'Detailed Report'!AU382-L386</f>
        <v>3.8057894736842073</v>
      </c>
      <c r="N386" s="110">
        <f>'Detailed Report'!AW382</f>
        <v>218.38</v>
      </c>
      <c r="O386" s="111">
        <f t="shared" si="51"/>
        <v>81.25157999999999</v>
      </c>
      <c r="P386" s="110">
        <f>'Detailed Report'!AM382</f>
        <v>0</v>
      </c>
      <c r="Q386" s="110">
        <f>'Detailed Report'!AN382</f>
        <v>0</v>
      </c>
      <c r="R386" s="110">
        <f>'Detailed Report'!AU382/1.14</f>
        <v>27.184210526315791</v>
      </c>
      <c r="S386" s="110">
        <f>'Detailed Report'!AU382-'........... - Otlob'!R386</f>
        <v>3.8057894736842073</v>
      </c>
    </row>
    <row r="387" spans="1:19" ht="14.45" customHeight="1" x14ac:dyDescent="0.25">
      <c r="A387" s="105">
        <f>+IF(B387="","",SUBTOTAL(3,B$8:B387))</f>
        <v>380</v>
      </c>
      <c r="B387" s="106" t="str">
        <f>'Detailed Report'!O383</f>
        <v>Fuddruckers - City Stars</v>
      </c>
      <c r="C387" s="107">
        <f>TRUNC('Detailed Report'!Q383,0)</f>
        <v>46036</v>
      </c>
      <c r="D387" s="108">
        <f>'Detailed Report'!P383</f>
        <v>3399832649</v>
      </c>
      <c r="E387" s="106" t="str">
        <f>'Detailed Report'!S383</f>
        <v>Successful</v>
      </c>
      <c r="F387" s="109">
        <f>IF(E387=$E$6,('Detailed Report'!Y383),IF(E387=$E$5,(0),0))</f>
        <v>463.99</v>
      </c>
      <c r="G387" s="106">
        <f>IF(E387=$E$6,('Detailed Report'!AQ383),IF(E387=$E$5,('Detailed Report'!AW383),0))</f>
        <v>407.00877000000003</v>
      </c>
      <c r="H387" s="106">
        <f>'Detailed Report'!AS383</f>
        <v>101.75219</v>
      </c>
      <c r="I387" s="106">
        <f>'Detailed Report'!AT383</f>
        <v>14.245306599999999</v>
      </c>
      <c r="J387" s="106">
        <f>'Detailed Report'!AO383</f>
        <v>0</v>
      </c>
      <c r="K387" s="106">
        <f>'Detailed Report'!AP383</f>
        <v>0</v>
      </c>
      <c r="L387" s="106">
        <f>'Detailed Report'!AU383/1.14</f>
        <v>0</v>
      </c>
      <c r="M387" s="106">
        <f>'Detailed Report'!AU383-L387</f>
        <v>0</v>
      </c>
      <c r="N387" s="110">
        <f>'Detailed Report'!AW383</f>
        <v>313.79300000000001</v>
      </c>
      <c r="O387" s="111">
        <f t="shared" si="51"/>
        <v>93.21577000000002</v>
      </c>
      <c r="P387" s="110">
        <f>'Detailed Report'!AM383</f>
        <v>30</v>
      </c>
      <c r="Q387" s="110">
        <f>'Detailed Report'!AN383</f>
        <v>4.2</v>
      </c>
      <c r="R387" s="110">
        <f>'Detailed Report'!AU383/1.14</f>
        <v>0</v>
      </c>
      <c r="S387" s="110">
        <f>'Detailed Report'!AU383-'........... - Otlob'!R387</f>
        <v>0</v>
      </c>
    </row>
    <row r="388" spans="1:19" ht="14.45" customHeight="1" x14ac:dyDescent="0.25">
      <c r="A388" s="105">
        <f>+IF(B388="","",SUBTOTAL(3,B$8:B388))</f>
        <v>381</v>
      </c>
      <c r="B388" s="106" t="str">
        <f>'Detailed Report'!O384</f>
        <v>Fuddruckers - Concord Plaza Mall</v>
      </c>
      <c r="C388" s="107">
        <f>TRUNC('Detailed Report'!Q384,0)</f>
        <v>46036</v>
      </c>
      <c r="D388" s="108">
        <f>'Detailed Report'!P384</f>
        <v>3399895474</v>
      </c>
      <c r="E388" s="106" t="str">
        <f>'Detailed Report'!S384</f>
        <v>Successful</v>
      </c>
      <c r="F388" s="109">
        <f>IF(E388=$E$6,('Detailed Report'!Y384),IF(E388=$E$5,(0),0))</f>
        <v>244.99</v>
      </c>
      <c r="G388" s="106">
        <f>IF(E388=$E$6,('Detailed Report'!AQ384),IF(E388=$E$5,('Detailed Report'!AW384),0))</f>
        <v>214.90351000000001</v>
      </c>
      <c r="H388" s="106">
        <f>'Detailed Report'!AS384</f>
        <v>53.725879999999997</v>
      </c>
      <c r="I388" s="106">
        <f>'Detailed Report'!AT384</f>
        <v>7.5216231999999996</v>
      </c>
      <c r="J388" s="106">
        <f>'Detailed Report'!AO384</f>
        <v>0</v>
      </c>
      <c r="K388" s="106">
        <f>'Detailed Report'!AP384</f>
        <v>0</v>
      </c>
      <c r="L388" s="106">
        <f>'Detailed Report'!AU384/1.14</f>
        <v>0</v>
      </c>
      <c r="M388" s="106">
        <f>'Detailed Report'!AU384-L388</f>
        <v>0</v>
      </c>
      <c r="N388" s="110">
        <f>'Detailed Report'!AW384</f>
        <v>183.74199999999999</v>
      </c>
      <c r="O388" s="111">
        <f t="shared" si="51"/>
        <v>31.161510000000021</v>
      </c>
      <c r="P388" s="110">
        <f>'Detailed Report'!AM384</f>
        <v>0</v>
      </c>
      <c r="Q388" s="110">
        <f>'Detailed Report'!AN384</f>
        <v>0</v>
      </c>
      <c r="R388" s="110">
        <f>'Detailed Report'!AU384/1.14</f>
        <v>0</v>
      </c>
      <c r="S388" s="110">
        <f>'Detailed Report'!AU384-'........... - Otlob'!R388</f>
        <v>0</v>
      </c>
    </row>
    <row r="389" spans="1:19" ht="14.45" customHeight="1" x14ac:dyDescent="0.25">
      <c r="A389" s="105">
        <f>+IF(B389="","",SUBTOTAL(3,B$8:B389))</f>
        <v>382</v>
      </c>
      <c r="B389" s="106" t="str">
        <f>'Detailed Report'!O385</f>
        <v>Fuddruckers - Concord Plaza Mall</v>
      </c>
      <c r="C389" s="107">
        <f>TRUNC('Detailed Report'!Q385,0)</f>
        <v>46036</v>
      </c>
      <c r="D389" s="108">
        <f>'Detailed Report'!P385</f>
        <v>3400014502</v>
      </c>
      <c r="E389" s="106" t="str">
        <f>'Detailed Report'!S385</f>
        <v>Successful</v>
      </c>
      <c r="F389" s="109">
        <f>IF(E389=$E$6,('Detailed Report'!Y385),IF(E389=$E$5,(0),0))</f>
        <v>398.99</v>
      </c>
      <c r="G389" s="106">
        <f>IF(E389=$E$6,('Detailed Report'!AQ385),IF(E389=$E$5,('Detailed Report'!AW385),0))</f>
        <v>349.99122999999997</v>
      </c>
      <c r="H389" s="106">
        <f>'Detailed Report'!AS385</f>
        <v>87.497810000000001</v>
      </c>
      <c r="I389" s="106">
        <f>'Detailed Report'!AT385</f>
        <v>12.2496934</v>
      </c>
      <c r="J389" s="106">
        <f>'Detailed Report'!AO385</f>
        <v>0</v>
      </c>
      <c r="K389" s="106">
        <f>'Detailed Report'!AP385</f>
        <v>0</v>
      </c>
      <c r="L389" s="106">
        <f>'Detailed Report'!AU385/1.14</f>
        <v>28.938596491228076</v>
      </c>
      <c r="M389" s="106">
        <f>'Detailed Report'!AU385-L389</f>
        <v>4.0514035087719265</v>
      </c>
      <c r="N389" s="110">
        <f>'Detailed Report'!AW385</f>
        <v>266.25200000000001</v>
      </c>
      <c r="O389" s="111">
        <f t="shared" si="51"/>
        <v>83.739229999999964</v>
      </c>
      <c r="P389" s="110">
        <f>'Detailed Report'!AM385</f>
        <v>0</v>
      </c>
      <c r="Q389" s="110">
        <f>'Detailed Report'!AN385</f>
        <v>0</v>
      </c>
      <c r="R389" s="110">
        <f>'Detailed Report'!AU385/1.14</f>
        <v>28.938596491228076</v>
      </c>
      <c r="S389" s="110">
        <f>'Detailed Report'!AU385-'........... - Otlob'!R389</f>
        <v>4.0514035087719265</v>
      </c>
    </row>
    <row r="390" spans="1:19" ht="14.45" customHeight="1" x14ac:dyDescent="0.25">
      <c r="A390" s="105">
        <f>+IF(B390="","",SUBTOTAL(3,B$8:B390))</f>
        <v>383</v>
      </c>
      <c r="B390" s="106" t="str">
        <f>'Detailed Report'!O386</f>
        <v>Fuddruckers - New Maadi</v>
      </c>
      <c r="C390" s="107">
        <f>TRUNC('Detailed Report'!Q386,0)</f>
        <v>46037</v>
      </c>
      <c r="D390" s="108">
        <f>'Detailed Report'!P386</f>
        <v>3400546179</v>
      </c>
      <c r="E390" s="106" t="str">
        <f>'Detailed Report'!S386</f>
        <v>Successful</v>
      </c>
      <c r="F390" s="109">
        <f>IF(E390=$E$6,('Detailed Report'!Y386),IF(E390=$E$5,(0),0))</f>
        <v>329</v>
      </c>
      <c r="G390" s="106">
        <f>IF(E390=$E$6,('Detailed Report'!AQ386),IF(E390=$E$5,('Detailed Report'!AW386),0))</f>
        <v>288.59649000000002</v>
      </c>
      <c r="H390" s="106">
        <f>'Detailed Report'!AS386</f>
        <v>72.149119999999996</v>
      </c>
      <c r="I390" s="106">
        <f>'Detailed Report'!AT386</f>
        <v>10.1008768</v>
      </c>
      <c r="J390" s="106">
        <f>'Detailed Report'!AO386</f>
        <v>0</v>
      </c>
      <c r="K390" s="106">
        <f>'Detailed Report'!AP386</f>
        <v>0</v>
      </c>
      <c r="L390" s="106">
        <f>'Detailed Report'!AU386/1.14</f>
        <v>0</v>
      </c>
      <c r="M390" s="106">
        <f>'Detailed Report'!AU386-L390</f>
        <v>0</v>
      </c>
      <c r="N390" s="110">
        <f>'Detailed Report'!AW386</f>
        <v>246.75</v>
      </c>
      <c r="O390" s="111">
        <f t="shared" si="51"/>
        <v>41.846490000000017</v>
      </c>
      <c r="P390" s="110">
        <f>'Detailed Report'!AM386</f>
        <v>0</v>
      </c>
      <c r="Q390" s="110">
        <f>'Detailed Report'!AN386</f>
        <v>0</v>
      </c>
      <c r="R390" s="110">
        <f>'Detailed Report'!AU386/1.14</f>
        <v>0</v>
      </c>
      <c r="S390" s="110">
        <f>'Detailed Report'!AU386-'........... - Otlob'!R390</f>
        <v>0</v>
      </c>
    </row>
    <row r="391" spans="1:19" ht="14.45" customHeight="1" x14ac:dyDescent="0.25">
      <c r="A391" s="105">
        <f>+IF(B391="","",SUBTOTAL(3,B$8:B391))</f>
        <v>384</v>
      </c>
      <c r="B391" s="106" t="str">
        <f>'Detailed Report'!O387</f>
        <v>Fuddruckers - Concord Plaza Mall</v>
      </c>
      <c r="C391" s="107">
        <f>TRUNC('Detailed Report'!Q387,0)</f>
        <v>46037</v>
      </c>
      <c r="D391" s="108">
        <f>'Detailed Report'!P387</f>
        <v>3400929858</v>
      </c>
      <c r="E391" s="106" t="str">
        <f>'Detailed Report'!S387</f>
        <v>Successful</v>
      </c>
      <c r="F391" s="109">
        <f>IF(E391=$E$6,('Detailed Report'!Y387),IF(E391=$E$5,(0),0))</f>
        <v>246.98</v>
      </c>
      <c r="G391" s="106">
        <f>IF(E391=$E$6,('Detailed Report'!AQ387),IF(E391=$E$5,('Detailed Report'!AW387),0))</f>
        <v>216.64912000000001</v>
      </c>
      <c r="H391" s="106">
        <f>'Detailed Report'!AS387</f>
        <v>54.162280000000003</v>
      </c>
      <c r="I391" s="106">
        <f>'Detailed Report'!AT387</f>
        <v>7.5827191999999997</v>
      </c>
      <c r="J391" s="106">
        <f>'Detailed Report'!AO387</f>
        <v>4.3221499999999997</v>
      </c>
      <c r="K391" s="106">
        <f>'Detailed Report'!AP387</f>
        <v>0.605101</v>
      </c>
      <c r="L391" s="106">
        <f>'Detailed Report'!AU387/1.14</f>
        <v>0</v>
      </c>
      <c r="M391" s="106">
        <f>'Detailed Report'!AU387-L391</f>
        <v>0</v>
      </c>
      <c r="N391" s="110">
        <f>'Detailed Report'!AW387</f>
        <v>146.108</v>
      </c>
      <c r="O391" s="111">
        <f t="shared" si="51"/>
        <v>70.541120000000006</v>
      </c>
      <c r="P391" s="110">
        <f>'Detailed Report'!AM387</f>
        <v>30</v>
      </c>
      <c r="Q391" s="110">
        <f>'Detailed Report'!AN387</f>
        <v>4.2</v>
      </c>
      <c r="R391" s="110">
        <f>'Detailed Report'!AU387/1.14</f>
        <v>0</v>
      </c>
      <c r="S391" s="110">
        <f>'Detailed Report'!AU387-'........... - Otlob'!R391</f>
        <v>0</v>
      </c>
    </row>
    <row r="392" spans="1:19" ht="14.45" customHeight="1" x14ac:dyDescent="0.25">
      <c r="A392" s="105">
        <f>+IF(B392="","",SUBTOTAL(3,B$8:B392))</f>
        <v>385</v>
      </c>
      <c r="B392" s="106" t="str">
        <f>'Detailed Report'!O388</f>
        <v>Fuddruckers - Concord Plaza Mall</v>
      </c>
      <c r="C392" s="107">
        <f>TRUNC('Detailed Report'!Q388,0)</f>
        <v>46037</v>
      </c>
      <c r="D392" s="108">
        <f>'Detailed Report'!P388</f>
        <v>3400934706</v>
      </c>
      <c r="E392" s="106" t="str">
        <f>'Detailed Report'!S388</f>
        <v>Successful</v>
      </c>
      <c r="F392" s="109">
        <f>IF(E392=$E$6,('Detailed Report'!Y388),IF(E392=$E$5,(0),0))</f>
        <v>445.99</v>
      </c>
      <c r="G392" s="106">
        <f>IF(E392=$E$6,('Detailed Report'!AQ388),IF(E392=$E$5,('Detailed Report'!AW388),0))</f>
        <v>391.21929999999998</v>
      </c>
      <c r="H392" s="106">
        <f>'Detailed Report'!AS388</f>
        <v>97.804829999999995</v>
      </c>
      <c r="I392" s="106">
        <f>'Detailed Report'!AT388</f>
        <v>13.692676199999999</v>
      </c>
      <c r="J392" s="106">
        <f>'Detailed Report'!AO388</f>
        <v>7.8048250000000001</v>
      </c>
      <c r="K392" s="106">
        <f>'Detailed Report'!AP388</f>
        <v>1.0926754999999999</v>
      </c>
      <c r="L392" s="106">
        <f>'Detailed Report'!AU388/1.14</f>
        <v>30.692982456140356</v>
      </c>
      <c r="M392" s="106">
        <f>'Detailed Report'!AU388-L392</f>
        <v>4.2970175438596456</v>
      </c>
      <c r="N392" s="110">
        <f>'Detailed Report'!AW388</f>
        <v>256.40499999999997</v>
      </c>
      <c r="O392" s="111">
        <f t="shared" si="51"/>
        <v>134.8143</v>
      </c>
      <c r="P392" s="110">
        <f>'Detailed Report'!AM388</f>
        <v>30</v>
      </c>
      <c r="Q392" s="110">
        <f>'Detailed Report'!AN388</f>
        <v>4.2</v>
      </c>
      <c r="R392" s="110">
        <f>'Detailed Report'!AU388/1.14</f>
        <v>30.692982456140356</v>
      </c>
      <c r="S392" s="110">
        <f>'Detailed Report'!AU388-'........... - Otlob'!R392</f>
        <v>4.2970175438596456</v>
      </c>
    </row>
    <row r="393" spans="1:19" ht="14.45" customHeight="1" x14ac:dyDescent="0.25">
      <c r="A393" s="105">
        <f>+IF(B393="","",SUBTOTAL(3,B$8:B393))</f>
        <v>386</v>
      </c>
      <c r="B393" s="106" t="str">
        <f>'Detailed Report'!O389</f>
        <v>Fuddruckers - Concord Plaza Mall</v>
      </c>
      <c r="C393" s="107">
        <f>TRUNC('Detailed Report'!Q389,0)</f>
        <v>46037</v>
      </c>
      <c r="D393" s="108">
        <f>'Detailed Report'!P389</f>
        <v>3400935736</v>
      </c>
      <c r="E393" s="106" t="str">
        <f>'Detailed Report'!S389</f>
        <v>Successful</v>
      </c>
      <c r="F393" s="109">
        <f>IF(E393=$E$6,('Detailed Report'!Y389),IF(E393=$E$5,(0),0))</f>
        <v>582.98</v>
      </c>
      <c r="G393" s="106">
        <f>IF(E393=$E$6,('Detailed Report'!AQ389),IF(E393=$E$5,('Detailed Report'!AW389),0))</f>
        <v>511.38596000000001</v>
      </c>
      <c r="H393" s="106">
        <f>'Detailed Report'!AS389</f>
        <v>127.84649</v>
      </c>
      <c r="I393" s="106">
        <f>'Detailed Report'!AT389</f>
        <v>17.8985086</v>
      </c>
      <c r="J393" s="106">
        <f>'Detailed Report'!AO389</f>
        <v>0</v>
      </c>
      <c r="K393" s="106">
        <f>'Detailed Report'!AP389</f>
        <v>0</v>
      </c>
      <c r="L393" s="106">
        <f>'Detailed Report'!AU389/1.14</f>
        <v>0</v>
      </c>
      <c r="M393" s="106">
        <f>'Detailed Report'!AU389-L393</f>
        <v>0</v>
      </c>
      <c r="N393" s="110">
        <f>'Detailed Report'!AW389</f>
        <v>403.03500000000003</v>
      </c>
      <c r="O393" s="111">
        <f t="shared" ref="O393:O456" si="52">G393-N393</f>
        <v>108.35095999999999</v>
      </c>
      <c r="P393" s="110">
        <f>'Detailed Report'!AM389</f>
        <v>30</v>
      </c>
      <c r="Q393" s="110">
        <f>'Detailed Report'!AN389</f>
        <v>4.2</v>
      </c>
      <c r="R393" s="110">
        <f>'Detailed Report'!AU389/1.14</f>
        <v>0</v>
      </c>
      <c r="S393" s="110">
        <f>'Detailed Report'!AU389-'........... - Otlob'!R393</f>
        <v>0</v>
      </c>
    </row>
    <row r="394" spans="1:19" ht="14.45" customHeight="1" x14ac:dyDescent="0.25">
      <c r="A394" s="105">
        <f>+IF(B394="","",SUBTOTAL(3,B$8:B394))</f>
        <v>387</v>
      </c>
      <c r="B394" s="106" t="str">
        <f>'Detailed Report'!O390</f>
        <v>Fuddruckers - Concord Plaza Mall</v>
      </c>
      <c r="C394" s="107">
        <f>TRUNC('Detailed Report'!Q390,0)</f>
        <v>46037</v>
      </c>
      <c r="D394" s="108">
        <f>'Detailed Report'!P390</f>
        <v>3400940491</v>
      </c>
      <c r="E394" s="106" t="str">
        <f>'Detailed Report'!S390</f>
        <v>Successful</v>
      </c>
      <c r="F394" s="109">
        <f>IF(E394=$E$6,('Detailed Report'!Y390),IF(E394=$E$5,(0),0))</f>
        <v>1776.95</v>
      </c>
      <c r="G394" s="106">
        <f>IF(E394=$E$6,('Detailed Report'!AQ390),IF(E394=$E$5,('Detailed Report'!AW390),0))</f>
        <v>1558.7280699999999</v>
      </c>
      <c r="H394" s="106">
        <f>'Detailed Report'!AS390</f>
        <v>389.68202000000002</v>
      </c>
      <c r="I394" s="106">
        <f>'Detailed Report'!AT390</f>
        <v>54.5554828</v>
      </c>
      <c r="J394" s="106">
        <f>'Detailed Report'!AO390</f>
        <v>31.09662325</v>
      </c>
      <c r="K394" s="106">
        <f>'Detailed Report'!AP390</f>
        <v>4.3535272550000004</v>
      </c>
      <c r="L394" s="106">
        <f>'Detailed Report'!AU390/1.14</f>
        <v>28.061403508771932</v>
      </c>
      <c r="M394" s="106">
        <f>'Detailed Report'!AU390-L394</f>
        <v>3.9285964912280669</v>
      </c>
      <c r="N394" s="110">
        <f>'Detailed Report'!AW390</f>
        <v>1265.2719999999999</v>
      </c>
      <c r="O394" s="111">
        <f t="shared" si="52"/>
        <v>293.45606999999995</v>
      </c>
      <c r="P394" s="110">
        <f>'Detailed Report'!AM390</f>
        <v>0</v>
      </c>
      <c r="Q394" s="110">
        <f>'Detailed Report'!AN390</f>
        <v>0</v>
      </c>
      <c r="R394" s="110">
        <f>'Detailed Report'!AU390/1.14</f>
        <v>28.061403508771932</v>
      </c>
      <c r="S394" s="110">
        <f>'Detailed Report'!AU390-'........... - Otlob'!R394</f>
        <v>3.9285964912280669</v>
      </c>
    </row>
    <row r="395" spans="1:19" ht="14.45" customHeight="1" x14ac:dyDescent="0.25">
      <c r="A395" s="105">
        <f>+IF(B395="","",SUBTOTAL(3,B$8:B395))</f>
        <v>388</v>
      </c>
      <c r="B395" s="106" t="str">
        <f>'Detailed Report'!O391</f>
        <v>Fuddruckers - New Maadi</v>
      </c>
      <c r="C395" s="107">
        <f>TRUNC('Detailed Report'!Q391,0)</f>
        <v>46037</v>
      </c>
      <c r="D395" s="108">
        <f>'Detailed Report'!P391</f>
        <v>3400966975</v>
      </c>
      <c r="E395" s="106" t="str">
        <f>'Detailed Report'!S391</f>
        <v>Successful</v>
      </c>
      <c r="F395" s="109">
        <f>IF(E395=$E$6,('Detailed Report'!Y391),IF(E395=$E$5,(0),0))</f>
        <v>328.98</v>
      </c>
      <c r="G395" s="106">
        <f>IF(E395=$E$6,('Detailed Report'!AQ391),IF(E395=$E$5,('Detailed Report'!AW391),0))</f>
        <v>288.57895000000002</v>
      </c>
      <c r="H395" s="106">
        <f>'Detailed Report'!AS391</f>
        <v>72.144739999999999</v>
      </c>
      <c r="I395" s="106">
        <f>'Detailed Report'!AT391</f>
        <v>10.1002636</v>
      </c>
      <c r="J395" s="106">
        <f>'Detailed Report'!AO391</f>
        <v>5.7571500000000002</v>
      </c>
      <c r="K395" s="106">
        <f>'Detailed Report'!AP391</f>
        <v>0.80600099999999997</v>
      </c>
      <c r="L395" s="106">
        <f>'Detailed Report'!AU391/1.14</f>
        <v>23.67543859649123</v>
      </c>
      <c r="M395" s="106">
        <f>'Detailed Report'!AU391-L395</f>
        <v>3.3145614035087689</v>
      </c>
      <c r="N395" s="110">
        <f>'Detailed Report'!AW391</f>
        <v>213.18199999999999</v>
      </c>
      <c r="O395" s="111">
        <f t="shared" si="52"/>
        <v>75.396950000000032</v>
      </c>
      <c r="P395" s="110">
        <f>'Detailed Report'!AM391</f>
        <v>0</v>
      </c>
      <c r="Q395" s="110">
        <f>'Detailed Report'!AN391</f>
        <v>0</v>
      </c>
      <c r="R395" s="110">
        <f>'Detailed Report'!AU391/1.14</f>
        <v>23.67543859649123</v>
      </c>
      <c r="S395" s="110">
        <f>'Detailed Report'!AU391-'........... - Otlob'!R395</f>
        <v>3.3145614035087689</v>
      </c>
    </row>
    <row r="396" spans="1:19" ht="14.45" customHeight="1" x14ac:dyDescent="0.25">
      <c r="A396" s="105">
        <f>+IF(B396="","",SUBTOTAL(3,B$8:B396))</f>
        <v>389</v>
      </c>
      <c r="B396" s="106" t="str">
        <f>'Detailed Report'!O392</f>
        <v>Fuddruckers - New Maadi</v>
      </c>
      <c r="C396" s="107">
        <f>TRUNC('Detailed Report'!Q392,0)</f>
        <v>46037</v>
      </c>
      <c r="D396" s="108">
        <f>'Detailed Report'!P392</f>
        <v>3400997943</v>
      </c>
      <c r="E396" s="106" t="str">
        <f>'Detailed Report'!S392</f>
        <v>Successful</v>
      </c>
      <c r="F396" s="109">
        <f>IF(E396=$E$6,('Detailed Report'!Y392),IF(E396=$E$5,(0),0))</f>
        <v>639.98</v>
      </c>
      <c r="G396" s="106">
        <f>IF(E396=$E$6,('Detailed Report'!AQ392),IF(E396=$E$5,('Detailed Report'!AW392),0))</f>
        <v>561.38595999999995</v>
      </c>
      <c r="H396" s="106">
        <f>'Detailed Report'!AS392</f>
        <v>140.34648999999999</v>
      </c>
      <c r="I396" s="106">
        <f>'Detailed Report'!AT392</f>
        <v>19.6485086</v>
      </c>
      <c r="J396" s="106">
        <f>'Detailed Report'!AO392</f>
        <v>11.19965</v>
      </c>
      <c r="K396" s="106">
        <f>'Detailed Report'!AP392</f>
        <v>1.5679510000000001</v>
      </c>
      <c r="L396" s="106">
        <f>'Detailed Report'!AU392/1.14</f>
        <v>0</v>
      </c>
      <c r="M396" s="106">
        <f>'Detailed Report'!AU392-L396</f>
        <v>0</v>
      </c>
      <c r="N396" s="110">
        <f>'Detailed Report'!AW392</f>
        <v>467.21699999999998</v>
      </c>
      <c r="O396" s="111">
        <f t="shared" si="52"/>
        <v>94.16895999999997</v>
      </c>
      <c r="P396" s="110">
        <f>'Detailed Report'!AM392</f>
        <v>0</v>
      </c>
      <c r="Q396" s="110">
        <f>'Detailed Report'!AN392</f>
        <v>0</v>
      </c>
      <c r="R396" s="110">
        <f>'Detailed Report'!AU392/1.14</f>
        <v>0</v>
      </c>
      <c r="S396" s="110">
        <f>'Detailed Report'!AU392-'........... - Otlob'!R396</f>
        <v>0</v>
      </c>
    </row>
    <row r="397" spans="1:19" ht="14.45" customHeight="1" x14ac:dyDescent="0.25">
      <c r="A397" s="105">
        <f>+IF(B397="","",SUBTOTAL(3,B$8:B397))</f>
        <v>390</v>
      </c>
      <c r="B397" s="106" t="str">
        <f>'Detailed Report'!O393</f>
        <v>Fuddruckers - New Maadi</v>
      </c>
      <c r="C397" s="107">
        <f>TRUNC('Detailed Report'!Q393,0)</f>
        <v>46037</v>
      </c>
      <c r="D397" s="108">
        <f>'Detailed Report'!P393</f>
        <v>3401018630</v>
      </c>
      <c r="E397" s="106" t="str">
        <f>'Detailed Report'!S393</f>
        <v>Successful</v>
      </c>
      <c r="F397" s="109">
        <f>IF(E397=$E$6,('Detailed Report'!Y393),IF(E397=$E$5,(0),0))</f>
        <v>432.94</v>
      </c>
      <c r="G397" s="106">
        <f>IF(E397=$E$6,('Detailed Report'!AQ393),IF(E397=$E$5,('Detailed Report'!AW393),0))</f>
        <v>379.77193</v>
      </c>
      <c r="H397" s="106">
        <f>'Detailed Report'!AS393</f>
        <v>94.942980000000006</v>
      </c>
      <c r="I397" s="106">
        <f>'Detailed Report'!AT393</f>
        <v>13.2920172</v>
      </c>
      <c r="J397" s="106">
        <f>'Detailed Report'!AO393</f>
        <v>7.5764500000000004</v>
      </c>
      <c r="K397" s="106">
        <f>'Detailed Report'!AP393</f>
        <v>1.060703</v>
      </c>
      <c r="L397" s="106">
        <f>'Detailed Report'!AU393/1.14</f>
        <v>26.307017543859651</v>
      </c>
      <c r="M397" s="106">
        <f>'Detailed Report'!AU393-L397</f>
        <v>3.6829824561403477</v>
      </c>
      <c r="N397" s="110">
        <f>'Detailed Report'!AW393</f>
        <v>286.07799999999997</v>
      </c>
      <c r="O397" s="111">
        <f t="shared" si="52"/>
        <v>93.693930000000023</v>
      </c>
      <c r="P397" s="110">
        <f>'Detailed Report'!AM393</f>
        <v>0</v>
      </c>
      <c r="Q397" s="110">
        <f>'Detailed Report'!AN393</f>
        <v>0</v>
      </c>
      <c r="R397" s="110">
        <f>'Detailed Report'!AU393/1.14</f>
        <v>26.307017543859651</v>
      </c>
      <c r="S397" s="110">
        <f>'Detailed Report'!AU393-'........... - Otlob'!R397</f>
        <v>3.6829824561403477</v>
      </c>
    </row>
    <row r="398" spans="1:19" ht="14.45" customHeight="1" x14ac:dyDescent="0.25">
      <c r="A398" s="105">
        <f>+IF(B398="","",SUBTOTAL(3,B$8:B398))</f>
        <v>391</v>
      </c>
      <c r="B398" s="106" t="str">
        <f>'Detailed Report'!O394</f>
        <v>Fuddruckers - Concord Plaza Mall</v>
      </c>
      <c r="C398" s="107">
        <f>TRUNC('Detailed Report'!Q394,0)</f>
        <v>46037</v>
      </c>
      <c r="D398" s="108">
        <f>'Detailed Report'!P394</f>
        <v>3401051353</v>
      </c>
      <c r="E398" s="106" t="str">
        <f>'Detailed Report'!S394</f>
        <v>Successful</v>
      </c>
      <c r="F398" s="109">
        <f>IF(E398=$E$6,('Detailed Report'!Y394),IF(E398=$E$5,(0),0))</f>
        <v>475.98</v>
      </c>
      <c r="G398" s="106">
        <f>IF(E398=$E$6,('Detailed Report'!AQ394),IF(E398=$E$5,('Detailed Report'!AW394),0))</f>
        <v>417.52632</v>
      </c>
      <c r="H398" s="106">
        <f>'Detailed Report'!AS394</f>
        <v>104.38158</v>
      </c>
      <c r="I398" s="106">
        <f>'Detailed Report'!AT394</f>
        <v>14.613421199999999</v>
      </c>
      <c r="J398" s="106">
        <f>'Detailed Report'!AO394</f>
        <v>8.3296500000000009</v>
      </c>
      <c r="K398" s="106">
        <f>'Detailed Report'!AP394</f>
        <v>1.1661509999999999</v>
      </c>
      <c r="L398" s="106">
        <f>'Detailed Report'!AU394/1.14</f>
        <v>27.184210526315791</v>
      </c>
      <c r="M398" s="106">
        <f>'Detailed Report'!AU394-L398</f>
        <v>3.8057894736842073</v>
      </c>
      <c r="N398" s="110">
        <f>'Detailed Report'!AW394</f>
        <v>316.49900000000002</v>
      </c>
      <c r="O398" s="111">
        <f t="shared" si="52"/>
        <v>101.02731999999997</v>
      </c>
      <c r="P398" s="110">
        <f>'Detailed Report'!AM394</f>
        <v>0</v>
      </c>
      <c r="Q398" s="110">
        <f>'Detailed Report'!AN394</f>
        <v>0</v>
      </c>
      <c r="R398" s="110">
        <f>'Detailed Report'!AU394/1.14</f>
        <v>27.184210526315791</v>
      </c>
      <c r="S398" s="110">
        <f>'Detailed Report'!AU394-'........... - Otlob'!R398</f>
        <v>3.8057894736842073</v>
      </c>
    </row>
    <row r="399" spans="1:19" ht="14.45" customHeight="1" x14ac:dyDescent="0.25">
      <c r="A399" s="105">
        <f>+IF(B399="","",SUBTOTAL(3,B$8:B399))</f>
        <v>392</v>
      </c>
      <c r="B399" s="106" t="str">
        <f>'Detailed Report'!O395</f>
        <v>Fuddruckers - New Maadi</v>
      </c>
      <c r="C399" s="107">
        <f>TRUNC('Detailed Report'!Q395,0)</f>
        <v>46037</v>
      </c>
      <c r="D399" s="108">
        <f>'Detailed Report'!P395</f>
        <v>3401057993</v>
      </c>
      <c r="E399" s="106" t="str">
        <f>'Detailed Report'!S395</f>
        <v>Successful</v>
      </c>
      <c r="F399" s="109">
        <f>IF(E399=$E$6,('Detailed Report'!Y395),IF(E399=$E$5,(0),0))</f>
        <v>919.98</v>
      </c>
      <c r="G399" s="106">
        <f>IF(E399=$E$6,('Detailed Report'!AQ395),IF(E399=$E$5,('Detailed Report'!AW395),0))</f>
        <v>807</v>
      </c>
      <c r="H399" s="106">
        <f>'Detailed Report'!AS395</f>
        <v>201.75</v>
      </c>
      <c r="I399" s="106">
        <f>'Detailed Report'!AT395</f>
        <v>28.245000000000001</v>
      </c>
      <c r="J399" s="106">
        <f>'Detailed Report'!AO395</f>
        <v>16.09965</v>
      </c>
      <c r="K399" s="106">
        <f>'Detailed Report'!AP395</f>
        <v>2.2539509999999998</v>
      </c>
      <c r="L399" s="106">
        <f>'Detailed Report'!AU395/1.14</f>
        <v>26.307017543859651</v>
      </c>
      <c r="M399" s="106">
        <f>'Detailed Report'!AU395-L399</f>
        <v>3.6829824561403477</v>
      </c>
      <c r="N399" s="110">
        <f>'Detailed Report'!AW395</f>
        <v>641.64099999999996</v>
      </c>
      <c r="O399" s="111">
        <f t="shared" si="52"/>
        <v>165.35900000000004</v>
      </c>
      <c r="P399" s="110">
        <f>'Detailed Report'!AM395</f>
        <v>0</v>
      </c>
      <c r="Q399" s="110">
        <f>'Detailed Report'!AN395</f>
        <v>0</v>
      </c>
      <c r="R399" s="110">
        <f>'Detailed Report'!AU395/1.14</f>
        <v>26.307017543859651</v>
      </c>
      <c r="S399" s="110">
        <f>'Detailed Report'!AU395-'........... - Otlob'!R399</f>
        <v>3.6829824561403477</v>
      </c>
    </row>
    <row r="400" spans="1:19" ht="14.45" customHeight="1" x14ac:dyDescent="0.25">
      <c r="A400" s="105">
        <f>+IF(B400="","",SUBTOTAL(3,B$8:B400))</f>
        <v>393</v>
      </c>
      <c r="B400" s="106" t="str">
        <f>'Detailed Report'!O396</f>
        <v>Fuddruckers - New Maadi</v>
      </c>
      <c r="C400" s="107">
        <f>TRUNC('Detailed Report'!Q396,0)</f>
        <v>46037</v>
      </c>
      <c r="D400" s="108">
        <f>'Detailed Report'!P396</f>
        <v>3401084016</v>
      </c>
      <c r="E400" s="106" t="str">
        <f>'Detailed Report'!S396</f>
        <v>Successful</v>
      </c>
      <c r="F400" s="109">
        <f>IF(E400=$E$6,('Detailed Report'!Y396),IF(E400=$E$5,(0),0))</f>
        <v>1655.96</v>
      </c>
      <c r="G400" s="106">
        <f>IF(E400=$E$6,('Detailed Report'!AQ396),IF(E400=$E$5,('Detailed Report'!AW396),0))</f>
        <v>1452.5964899999999</v>
      </c>
      <c r="H400" s="106">
        <f>'Detailed Report'!AS396</f>
        <v>363.14911999999998</v>
      </c>
      <c r="I400" s="106">
        <f>'Detailed Report'!AT396</f>
        <v>50.840876799999997</v>
      </c>
      <c r="J400" s="106">
        <f>'Detailed Report'!AO396</f>
        <v>28.979299999999999</v>
      </c>
      <c r="K400" s="106">
        <f>'Detailed Report'!AP396</f>
        <v>4.0571020000000004</v>
      </c>
      <c r="L400" s="106">
        <f>'Detailed Report'!AU396/1.14</f>
        <v>25.42982456140351</v>
      </c>
      <c r="M400" s="106">
        <f>'Detailed Report'!AU396-L400</f>
        <v>3.5601754385964881</v>
      </c>
      <c r="N400" s="110">
        <f>'Detailed Report'!AW396</f>
        <v>1179.944</v>
      </c>
      <c r="O400" s="111">
        <f t="shared" si="52"/>
        <v>272.65248999999994</v>
      </c>
      <c r="P400" s="110">
        <f>'Detailed Report'!AM396</f>
        <v>0</v>
      </c>
      <c r="Q400" s="110">
        <f>'Detailed Report'!AN396</f>
        <v>0</v>
      </c>
      <c r="R400" s="110">
        <f>'Detailed Report'!AU396/1.14</f>
        <v>25.42982456140351</v>
      </c>
      <c r="S400" s="110">
        <f>'Detailed Report'!AU396-'........... - Otlob'!R400</f>
        <v>3.5601754385964881</v>
      </c>
    </row>
    <row r="401" spans="1:19" ht="14.45" customHeight="1" x14ac:dyDescent="0.25">
      <c r="A401" s="105">
        <f>+IF(B401="","",SUBTOTAL(3,B$8:B401))</f>
        <v>394</v>
      </c>
      <c r="B401" s="106" t="str">
        <f>'Detailed Report'!O397</f>
        <v>Fuddruckers - Concord Plaza Mall</v>
      </c>
      <c r="C401" s="107">
        <f>TRUNC('Detailed Report'!Q397,0)</f>
        <v>46037</v>
      </c>
      <c r="D401" s="108">
        <f>'Detailed Report'!P397</f>
        <v>3401097143</v>
      </c>
      <c r="E401" s="106" t="str">
        <f>'Detailed Report'!S397</f>
        <v>Successful</v>
      </c>
      <c r="F401" s="109">
        <f>IF(E401=$E$6,('Detailed Report'!Y397),IF(E401=$E$5,(0),0))</f>
        <v>481.64</v>
      </c>
      <c r="G401" s="106">
        <f>IF(E401=$E$6,('Detailed Report'!AQ397),IF(E401=$E$5,('Detailed Report'!AW397),0))</f>
        <v>422.49122999999997</v>
      </c>
      <c r="H401" s="106">
        <f>'Detailed Report'!AS397</f>
        <v>105.62281</v>
      </c>
      <c r="I401" s="106">
        <f>'Detailed Report'!AT397</f>
        <v>14.7871934</v>
      </c>
      <c r="J401" s="106">
        <f>'Detailed Report'!AO397</f>
        <v>8.4286999999999992</v>
      </c>
      <c r="K401" s="106">
        <f>'Detailed Report'!AP397</f>
        <v>1.180018</v>
      </c>
      <c r="L401" s="106">
        <f>'Detailed Report'!AU397/1.14</f>
        <v>27.184210526315791</v>
      </c>
      <c r="M401" s="106">
        <f>'Detailed Report'!AU397-L401</f>
        <v>3.8057894736842073</v>
      </c>
      <c r="N401" s="110">
        <f>'Detailed Report'!AW397</f>
        <v>320.63099999999997</v>
      </c>
      <c r="O401" s="111">
        <f t="shared" si="52"/>
        <v>101.86023</v>
      </c>
      <c r="P401" s="110">
        <f>'Detailed Report'!AM397</f>
        <v>0</v>
      </c>
      <c r="Q401" s="110">
        <f>'Detailed Report'!AN397</f>
        <v>0</v>
      </c>
      <c r="R401" s="110">
        <f>'Detailed Report'!AU397/1.14</f>
        <v>27.184210526315791</v>
      </c>
      <c r="S401" s="110">
        <f>'Detailed Report'!AU397-'........... - Otlob'!R401</f>
        <v>3.8057894736842073</v>
      </c>
    </row>
    <row r="402" spans="1:19" ht="14.45" customHeight="1" x14ac:dyDescent="0.25">
      <c r="A402" s="105">
        <f>+IF(B402="","",SUBTOTAL(3,B$8:B402))</f>
        <v>395</v>
      </c>
      <c r="B402" s="106" t="str">
        <f>'Detailed Report'!O398</f>
        <v>Fuddruckers - New Maadi</v>
      </c>
      <c r="C402" s="107">
        <f>TRUNC('Detailed Report'!Q398,0)</f>
        <v>46037</v>
      </c>
      <c r="D402" s="108">
        <f>'Detailed Report'!P398</f>
        <v>3401119717</v>
      </c>
      <c r="E402" s="106" t="str">
        <f>'Detailed Report'!S398</f>
        <v>Successful</v>
      </c>
      <c r="F402" s="109">
        <f>IF(E402=$E$6,('Detailed Report'!Y398),IF(E402=$E$5,(0),0))</f>
        <v>794.65</v>
      </c>
      <c r="G402" s="106">
        <f>IF(E402=$E$6,('Detailed Report'!AQ398),IF(E402=$E$5,('Detailed Report'!AW398),0))</f>
        <v>697.06140000000005</v>
      </c>
      <c r="H402" s="106">
        <f>'Detailed Report'!AS398</f>
        <v>174.26535000000001</v>
      </c>
      <c r="I402" s="106">
        <f>'Detailed Report'!AT398</f>
        <v>24.397148999999999</v>
      </c>
      <c r="J402" s="106">
        <f>'Detailed Report'!AO398</f>
        <v>13.906375000000001</v>
      </c>
      <c r="K402" s="106">
        <f>'Detailed Report'!AP398</f>
        <v>1.9468924999999999</v>
      </c>
      <c r="L402" s="106">
        <f>'Detailed Report'!AU398/1.14</f>
        <v>26.307017543859651</v>
      </c>
      <c r="M402" s="106">
        <f>'Detailed Report'!AU398-L402</f>
        <v>3.6829824561403477</v>
      </c>
      <c r="N402" s="110">
        <f>'Detailed Report'!AW398</f>
        <v>550.14400000000001</v>
      </c>
      <c r="O402" s="111">
        <f t="shared" si="52"/>
        <v>146.91740000000004</v>
      </c>
      <c r="P402" s="110">
        <f>'Detailed Report'!AM398</f>
        <v>0</v>
      </c>
      <c r="Q402" s="110">
        <f>'Detailed Report'!AN398</f>
        <v>0</v>
      </c>
      <c r="R402" s="110">
        <f>'Detailed Report'!AU398/1.14</f>
        <v>26.307017543859651</v>
      </c>
      <c r="S402" s="110">
        <f>'Detailed Report'!AU398-'........... - Otlob'!R402</f>
        <v>3.6829824561403477</v>
      </c>
    </row>
    <row r="403" spans="1:19" ht="14.45" customHeight="1" x14ac:dyDescent="0.25">
      <c r="A403" s="105">
        <f>+IF(B403="","",SUBTOTAL(3,B$8:B403))</f>
        <v>396</v>
      </c>
      <c r="B403" s="106" t="str">
        <f>'Detailed Report'!O399</f>
        <v>Fuddruckers - Concord Plaza Mall</v>
      </c>
      <c r="C403" s="107">
        <f>TRUNC('Detailed Report'!Q399,0)</f>
        <v>46037</v>
      </c>
      <c r="D403" s="108">
        <f>'Detailed Report'!P399</f>
        <v>3401142767</v>
      </c>
      <c r="E403" s="106" t="str">
        <f>'Detailed Report'!S399</f>
        <v>Successful</v>
      </c>
      <c r="F403" s="109">
        <f>IF(E403=$E$6,('Detailed Report'!Y399),IF(E403=$E$5,(0),0))</f>
        <v>288.02999999999997</v>
      </c>
      <c r="G403" s="106">
        <f>IF(E403=$E$6,('Detailed Report'!AQ399),IF(E403=$E$5,('Detailed Report'!AW399),0))</f>
        <v>252.65789000000001</v>
      </c>
      <c r="H403" s="106">
        <f>'Detailed Report'!AS399</f>
        <v>63.164470000000001</v>
      </c>
      <c r="I403" s="106">
        <f>'Detailed Report'!AT399</f>
        <v>8.8430257999999995</v>
      </c>
      <c r="J403" s="106">
        <f>'Detailed Report'!AO399</f>
        <v>5.0405249999999997</v>
      </c>
      <c r="K403" s="106">
        <f>'Detailed Report'!AP399</f>
        <v>0.70567349999999995</v>
      </c>
      <c r="L403" s="106">
        <f>'Detailed Report'!AU399/1.14</f>
        <v>29.815789473684216</v>
      </c>
      <c r="M403" s="106">
        <f>'Detailed Report'!AU399-L403</f>
        <v>4.174210526315786</v>
      </c>
      <c r="N403" s="110">
        <f>'Detailed Report'!AW399</f>
        <v>176.286</v>
      </c>
      <c r="O403" s="111">
        <f t="shared" si="52"/>
        <v>76.371890000000008</v>
      </c>
      <c r="P403" s="110">
        <f>'Detailed Report'!AM399</f>
        <v>0</v>
      </c>
      <c r="Q403" s="110">
        <f>'Detailed Report'!AN399</f>
        <v>0</v>
      </c>
      <c r="R403" s="110">
        <f>'Detailed Report'!AU399/1.14</f>
        <v>29.815789473684216</v>
      </c>
      <c r="S403" s="110">
        <f>'Detailed Report'!AU399-'........... - Otlob'!R403</f>
        <v>4.174210526315786</v>
      </c>
    </row>
    <row r="404" spans="1:19" ht="14.45" customHeight="1" x14ac:dyDescent="0.25">
      <c r="A404" s="105">
        <f>+IF(B404="","",SUBTOTAL(3,B$8:B404))</f>
        <v>397</v>
      </c>
      <c r="B404" s="106" t="str">
        <f>'Detailed Report'!O400</f>
        <v>Fuddruckers - City Stars</v>
      </c>
      <c r="C404" s="107">
        <f>TRUNC('Detailed Report'!Q400,0)</f>
        <v>46037</v>
      </c>
      <c r="D404" s="108">
        <f>'Detailed Report'!P400</f>
        <v>3401144869</v>
      </c>
      <c r="E404" s="106" t="str">
        <f>'Detailed Report'!S400</f>
        <v>Successful</v>
      </c>
      <c r="F404" s="109">
        <f>IF(E404=$E$6,('Detailed Report'!Y400),IF(E404=$E$5,(0),0))</f>
        <v>836.17</v>
      </c>
      <c r="G404" s="106">
        <f>IF(E404=$E$6,('Detailed Report'!AQ400),IF(E404=$E$5,('Detailed Report'!AW400),0))</f>
        <v>733.48245999999995</v>
      </c>
      <c r="H404" s="106">
        <f>'Detailed Report'!AS400</f>
        <v>183.37062</v>
      </c>
      <c r="I404" s="106">
        <f>'Detailed Report'!AT400</f>
        <v>25.671886799999999</v>
      </c>
      <c r="J404" s="106">
        <f>'Detailed Report'!AO400</f>
        <v>14.632975</v>
      </c>
      <c r="K404" s="106">
        <f>'Detailed Report'!AP400</f>
        <v>2.0486165000000001</v>
      </c>
      <c r="L404" s="106">
        <f>'Detailed Report'!AU400/1.14</f>
        <v>0</v>
      </c>
      <c r="M404" s="106">
        <f>'Detailed Report'!AU400-L404</f>
        <v>0</v>
      </c>
      <c r="N404" s="110">
        <f>'Detailed Report'!AW400</f>
        <v>610.44600000000003</v>
      </c>
      <c r="O404" s="111">
        <f t="shared" si="52"/>
        <v>123.03645999999992</v>
      </c>
      <c r="P404" s="110">
        <f>'Detailed Report'!AM400</f>
        <v>0</v>
      </c>
      <c r="Q404" s="110">
        <f>'Detailed Report'!AN400</f>
        <v>0</v>
      </c>
      <c r="R404" s="110">
        <f>'Detailed Report'!AU400/1.14</f>
        <v>0</v>
      </c>
      <c r="S404" s="110">
        <f>'Detailed Report'!AU400-'........... - Otlob'!R404</f>
        <v>0</v>
      </c>
    </row>
    <row r="405" spans="1:19" ht="14.45" customHeight="1" x14ac:dyDescent="0.25">
      <c r="A405" s="105">
        <f>+IF(B405="","",SUBTOTAL(3,B$8:B405))</f>
        <v>398</v>
      </c>
      <c r="B405" s="106" t="str">
        <f>'Detailed Report'!O401</f>
        <v>Fuddruckers - Concord Plaza Mall</v>
      </c>
      <c r="C405" s="107">
        <f>TRUNC('Detailed Report'!Q401,0)</f>
        <v>46037</v>
      </c>
      <c r="D405" s="108">
        <f>'Detailed Report'!P401</f>
        <v>3401181292</v>
      </c>
      <c r="E405" s="106" t="str">
        <f>'Detailed Report'!S401</f>
        <v>Successful</v>
      </c>
      <c r="F405" s="109">
        <f>IF(E405=$E$6,('Detailed Report'!Y401),IF(E405=$E$5,(0),0))</f>
        <v>249.99</v>
      </c>
      <c r="G405" s="106">
        <f>IF(E405=$E$6,('Detailed Report'!AQ401),IF(E405=$E$5,('Detailed Report'!AW401),0))</f>
        <v>219.28946999999999</v>
      </c>
      <c r="H405" s="106">
        <f>'Detailed Report'!AS401</f>
        <v>54.822369999999999</v>
      </c>
      <c r="I405" s="106">
        <f>'Detailed Report'!AT401</f>
        <v>7.6751317999999999</v>
      </c>
      <c r="J405" s="106">
        <f>'Detailed Report'!AO401</f>
        <v>4.3748250000000004</v>
      </c>
      <c r="K405" s="106">
        <f>'Detailed Report'!AP401</f>
        <v>0.61247549999999995</v>
      </c>
      <c r="L405" s="106">
        <f>'Detailed Report'!AU401/1.14</f>
        <v>28.061403508771932</v>
      </c>
      <c r="M405" s="106">
        <f>'Detailed Report'!AU401-L405</f>
        <v>3.9285964912280669</v>
      </c>
      <c r="N405" s="110">
        <f>'Detailed Report'!AW401</f>
        <v>150.51499999999999</v>
      </c>
      <c r="O405" s="111">
        <f t="shared" si="52"/>
        <v>68.774470000000008</v>
      </c>
      <c r="P405" s="110">
        <f>'Detailed Report'!AM401</f>
        <v>0</v>
      </c>
      <c r="Q405" s="110">
        <f>'Detailed Report'!AN401</f>
        <v>0</v>
      </c>
      <c r="R405" s="110">
        <f>'Detailed Report'!AU401/1.14</f>
        <v>28.061403508771932</v>
      </c>
      <c r="S405" s="110">
        <f>'Detailed Report'!AU401-'........... - Otlob'!R405</f>
        <v>3.9285964912280669</v>
      </c>
    </row>
    <row r="406" spans="1:19" ht="14.45" customHeight="1" x14ac:dyDescent="0.25">
      <c r="A406" s="105">
        <f>+IF(B406="","",SUBTOTAL(3,B$8:B406))</f>
        <v>399</v>
      </c>
      <c r="B406" s="106" t="str">
        <f>'Detailed Report'!O402</f>
        <v>Fuddruckers - New Maadi</v>
      </c>
      <c r="C406" s="107">
        <f>TRUNC('Detailed Report'!Q402,0)</f>
        <v>46037</v>
      </c>
      <c r="D406" s="108">
        <f>'Detailed Report'!P402</f>
        <v>3401193190</v>
      </c>
      <c r="E406" s="106" t="str">
        <f>'Detailed Report'!S402</f>
        <v>Successful</v>
      </c>
      <c r="F406" s="109">
        <f>IF(E406=$E$6,('Detailed Report'!Y402),IF(E406=$E$5,(0),0))</f>
        <v>725.99</v>
      </c>
      <c r="G406" s="106">
        <f>IF(E406=$E$6,('Detailed Report'!AQ402),IF(E406=$E$5,('Detailed Report'!AW402),0))</f>
        <v>636.83333000000005</v>
      </c>
      <c r="H406" s="106">
        <f>'Detailed Report'!AS402</f>
        <v>159.20832999999999</v>
      </c>
      <c r="I406" s="106">
        <f>'Detailed Report'!AT402</f>
        <v>22.2891662</v>
      </c>
      <c r="J406" s="106">
        <f>'Detailed Report'!AO402</f>
        <v>12.704825</v>
      </c>
      <c r="K406" s="106">
        <f>'Detailed Report'!AP402</f>
        <v>1.7786755000000001</v>
      </c>
      <c r="L406" s="106">
        <f>'Detailed Report'!AU402/1.14</f>
        <v>26.307017543859651</v>
      </c>
      <c r="M406" s="106">
        <f>'Detailed Report'!AU402-L406</f>
        <v>3.6829824561403477</v>
      </c>
      <c r="N406" s="110">
        <f>'Detailed Report'!AW402</f>
        <v>500.01900000000001</v>
      </c>
      <c r="O406" s="111">
        <f t="shared" si="52"/>
        <v>136.81433000000004</v>
      </c>
      <c r="P406" s="110">
        <f>'Detailed Report'!AM402</f>
        <v>0</v>
      </c>
      <c r="Q406" s="110">
        <f>'Detailed Report'!AN402</f>
        <v>0</v>
      </c>
      <c r="R406" s="110">
        <f>'Detailed Report'!AU402/1.14</f>
        <v>26.307017543859651</v>
      </c>
      <c r="S406" s="110">
        <f>'Detailed Report'!AU402-'........... - Otlob'!R406</f>
        <v>3.6829824561403477</v>
      </c>
    </row>
    <row r="407" spans="1:19" ht="14.45" customHeight="1" x14ac:dyDescent="0.25">
      <c r="A407" s="105">
        <f>+IF(B407="","",SUBTOTAL(3,B$8:B407))</f>
        <v>400</v>
      </c>
      <c r="B407" s="106" t="str">
        <f>'Detailed Report'!O403</f>
        <v>Fuddruckers - New Maadi</v>
      </c>
      <c r="C407" s="107">
        <f>TRUNC('Detailed Report'!Q403,0)</f>
        <v>46037</v>
      </c>
      <c r="D407" s="108">
        <f>'Detailed Report'!P403</f>
        <v>3401214104</v>
      </c>
      <c r="E407" s="106" t="str">
        <f>'Detailed Report'!S403</f>
        <v>Successful</v>
      </c>
      <c r="F407" s="109">
        <f>IF(E407=$E$6,('Detailed Report'!Y403),IF(E407=$E$5,(0),0))</f>
        <v>539.97</v>
      </c>
      <c r="G407" s="106">
        <f>IF(E407=$E$6,('Detailed Report'!AQ403),IF(E407=$E$5,('Detailed Report'!AW403),0))</f>
        <v>473.65789000000001</v>
      </c>
      <c r="H407" s="106">
        <f>'Detailed Report'!AS403</f>
        <v>118.41446999999999</v>
      </c>
      <c r="I407" s="106">
        <f>'Detailed Report'!AT403</f>
        <v>16.578025799999999</v>
      </c>
      <c r="J407" s="106">
        <f>'Detailed Report'!AO403</f>
        <v>9.4494749999999996</v>
      </c>
      <c r="K407" s="106">
        <f>'Detailed Report'!AP403</f>
        <v>1.3229264999999999</v>
      </c>
      <c r="L407" s="106">
        <f>'Detailed Report'!AU403/1.14</f>
        <v>0</v>
      </c>
      <c r="M407" s="106">
        <f>'Detailed Report'!AU403-L407</f>
        <v>0</v>
      </c>
      <c r="N407" s="110">
        <f>'Detailed Report'!AW403</f>
        <v>394.20499999999998</v>
      </c>
      <c r="O407" s="111">
        <f t="shared" si="52"/>
        <v>79.452890000000025</v>
      </c>
      <c r="P407" s="110">
        <f>'Detailed Report'!AM403</f>
        <v>0</v>
      </c>
      <c r="Q407" s="110">
        <f>'Detailed Report'!AN403</f>
        <v>0</v>
      </c>
      <c r="R407" s="110">
        <f>'Detailed Report'!AU403/1.14</f>
        <v>0</v>
      </c>
      <c r="S407" s="110">
        <f>'Detailed Report'!AU403-'........... - Otlob'!R407</f>
        <v>0</v>
      </c>
    </row>
    <row r="408" spans="1:19" ht="14.45" customHeight="1" x14ac:dyDescent="0.25">
      <c r="A408" s="105">
        <f>+IF(B408="","",SUBTOTAL(3,B$8:B408))</f>
        <v>401</v>
      </c>
      <c r="B408" s="106" t="str">
        <f>'Detailed Report'!O404</f>
        <v>Fuddruckers - Concord Plaza Mall</v>
      </c>
      <c r="C408" s="107">
        <f>TRUNC('Detailed Report'!Q404,0)</f>
        <v>46037</v>
      </c>
      <c r="D408" s="108">
        <f>'Detailed Report'!P404</f>
        <v>3401221744</v>
      </c>
      <c r="E408" s="106" t="str">
        <f>'Detailed Report'!S404</f>
        <v>Successful</v>
      </c>
      <c r="F408" s="109">
        <f>IF(E408=$E$6,('Detailed Report'!Y404),IF(E408=$E$5,(0),0))</f>
        <v>767.99</v>
      </c>
      <c r="G408" s="106">
        <f>IF(E408=$E$6,('Detailed Report'!AQ404),IF(E408=$E$5,('Detailed Report'!AW404),0))</f>
        <v>673.67543999999998</v>
      </c>
      <c r="H408" s="106">
        <f>'Detailed Report'!AS404</f>
        <v>168.41886</v>
      </c>
      <c r="I408" s="106">
        <f>'Detailed Report'!AT404</f>
        <v>23.578640400000001</v>
      </c>
      <c r="J408" s="106">
        <f>'Detailed Report'!AO404</f>
        <v>13.439825000000001</v>
      </c>
      <c r="K408" s="106">
        <f>'Detailed Report'!AP404</f>
        <v>1.8815755000000001</v>
      </c>
      <c r="L408" s="106">
        <f>'Detailed Report'!AU404/1.14</f>
        <v>0</v>
      </c>
      <c r="M408" s="106">
        <f>'Detailed Report'!AU404-L408</f>
        <v>0</v>
      </c>
      <c r="N408" s="110">
        <f>'Detailed Report'!AW404</f>
        <v>560.67100000000005</v>
      </c>
      <c r="O408" s="111">
        <f t="shared" si="52"/>
        <v>113.00443999999993</v>
      </c>
      <c r="P408" s="110">
        <f>'Detailed Report'!AM404</f>
        <v>0</v>
      </c>
      <c r="Q408" s="110">
        <f>'Detailed Report'!AN404</f>
        <v>0</v>
      </c>
      <c r="R408" s="110">
        <f>'Detailed Report'!AU404/1.14</f>
        <v>0</v>
      </c>
      <c r="S408" s="110">
        <f>'Detailed Report'!AU404-'........... - Otlob'!R408</f>
        <v>0</v>
      </c>
    </row>
    <row r="409" spans="1:19" ht="14.45" customHeight="1" x14ac:dyDescent="0.25">
      <c r="A409" s="105">
        <f>+IF(B409="","",SUBTOTAL(3,B$8:B409))</f>
        <v>402</v>
      </c>
      <c r="B409" s="106" t="str">
        <f>'Detailed Report'!O405</f>
        <v>Fuddruckers - Concord Plaza Mall</v>
      </c>
      <c r="C409" s="107">
        <f>TRUNC('Detailed Report'!Q405,0)</f>
        <v>46037</v>
      </c>
      <c r="D409" s="108">
        <f>'Detailed Report'!P405</f>
        <v>3401226573</v>
      </c>
      <c r="E409" s="106" t="str">
        <f>'Detailed Report'!S405</f>
        <v>Successful</v>
      </c>
      <c r="F409" s="109">
        <f>IF(E409=$E$6,('Detailed Report'!Y405),IF(E409=$E$5,(0),0))</f>
        <v>444.99</v>
      </c>
      <c r="G409" s="106">
        <f>IF(E409=$E$6,('Detailed Report'!AQ405),IF(E409=$E$5,('Detailed Report'!AW405),0))</f>
        <v>390.34210999999999</v>
      </c>
      <c r="H409" s="106">
        <f>'Detailed Report'!AS405</f>
        <v>97.585530000000006</v>
      </c>
      <c r="I409" s="106">
        <f>'Detailed Report'!AT405</f>
        <v>13.6619742</v>
      </c>
      <c r="J409" s="106">
        <f>'Detailed Report'!AO405</f>
        <v>7.7873250000000001</v>
      </c>
      <c r="K409" s="106">
        <f>'Detailed Report'!AP405</f>
        <v>1.0902255000000001</v>
      </c>
      <c r="L409" s="106">
        <f>'Detailed Report'!AU405/1.14</f>
        <v>27.184210526315791</v>
      </c>
      <c r="M409" s="106">
        <f>'Detailed Report'!AU405-L409</f>
        <v>3.8057894736842073</v>
      </c>
      <c r="N409" s="110">
        <f>'Detailed Report'!AW405</f>
        <v>293.875</v>
      </c>
      <c r="O409" s="111">
        <f t="shared" si="52"/>
        <v>96.467109999999991</v>
      </c>
      <c r="P409" s="110">
        <f>'Detailed Report'!AM405</f>
        <v>0</v>
      </c>
      <c r="Q409" s="110">
        <f>'Detailed Report'!AN405</f>
        <v>0</v>
      </c>
      <c r="R409" s="110">
        <f>'Detailed Report'!AU405/1.14</f>
        <v>27.184210526315791</v>
      </c>
      <c r="S409" s="110">
        <f>'Detailed Report'!AU405-'........... - Otlob'!R409</f>
        <v>3.8057894736842073</v>
      </c>
    </row>
    <row r="410" spans="1:19" ht="14.45" customHeight="1" x14ac:dyDescent="0.25">
      <c r="A410" s="105">
        <f>+IF(B410="","",SUBTOTAL(3,B$8:B410))</f>
        <v>403</v>
      </c>
      <c r="B410" s="106" t="str">
        <f>'Detailed Report'!O406</f>
        <v>Fuddruckers - Concord Plaza Mall</v>
      </c>
      <c r="C410" s="107">
        <f>TRUNC('Detailed Report'!Q406,0)</f>
        <v>46037</v>
      </c>
      <c r="D410" s="108">
        <f>'Detailed Report'!P406</f>
        <v>3401231684</v>
      </c>
      <c r="E410" s="106" t="str">
        <f>'Detailed Report'!S406</f>
        <v>Successful</v>
      </c>
      <c r="F410" s="109">
        <f>IF(E410=$E$6,('Detailed Report'!Y406),IF(E410=$E$5,(0),0))</f>
        <v>954.64</v>
      </c>
      <c r="G410" s="106">
        <f>IF(E410=$E$6,('Detailed Report'!AQ406),IF(E410=$E$5,('Detailed Report'!AW406),0))</f>
        <v>837.40350999999998</v>
      </c>
      <c r="H410" s="106">
        <f>'Detailed Report'!AS406</f>
        <v>209.35087999999999</v>
      </c>
      <c r="I410" s="106">
        <f>'Detailed Report'!AT406</f>
        <v>29.309123199999998</v>
      </c>
      <c r="J410" s="106">
        <f>'Detailed Report'!AO406</f>
        <v>16.706199999999999</v>
      </c>
      <c r="K410" s="106">
        <f>'Detailed Report'!AP406</f>
        <v>2.3388680000000002</v>
      </c>
      <c r="L410" s="106">
        <f>'Detailed Report'!AU406/1.14</f>
        <v>0</v>
      </c>
      <c r="M410" s="106">
        <f>'Detailed Report'!AU406-L410</f>
        <v>0</v>
      </c>
      <c r="N410" s="110">
        <f>'Detailed Report'!AW406</f>
        <v>696.93499999999995</v>
      </c>
      <c r="O410" s="111">
        <f t="shared" si="52"/>
        <v>140.46851000000004</v>
      </c>
      <c r="P410" s="110">
        <f>'Detailed Report'!AM406</f>
        <v>0</v>
      </c>
      <c r="Q410" s="110">
        <f>'Detailed Report'!AN406</f>
        <v>0</v>
      </c>
      <c r="R410" s="110">
        <f>'Detailed Report'!AU406/1.14</f>
        <v>0</v>
      </c>
      <c r="S410" s="110">
        <f>'Detailed Report'!AU406-'........... - Otlob'!R410</f>
        <v>0</v>
      </c>
    </row>
    <row r="411" spans="1:19" ht="14.45" customHeight="1" x14ac:dyDescent="0.25">
      <c r="A411" s="105">
        <f>+IF(B411="","",SUBTOTAL(3,B$8:B411))</f>
        <v>404</v>
      </c>
      <c r="B411" s="106" t="str">
        <f>'Detailed Report'!O407</f>
        <v>Fuddruckers - New Maadi</v>
      </c>
      <c r="C411" s="107">
        <f>TRUNC('Detailed Report'!Q407,0)</f>
        <v>46037</v>
      </c>
      <c r="D411" s="108">
        <f>'Detailed Report'!P407</f>
        <v>3401252731</v>
      </c>
      <c r="E411" s="106" t="str">
        <f>'Detailed Report'!S407</f>
        <v>Successful</v>
      </c>
      <c r="F411" s="109">
        <f>IF(E411=$E$6,('Detailed Report'!Y407),IF(E411=$E$5,(0),0))</f>
        <v>432.94</v>
      </c>
      <c r="G411" s="106">
        <f>IF(E411=$E$6,('Detailed Report'!AQ407),IF(E411=$E$5,('Detailed Report'!AW407),0))</f>
        <v>379.77193</v>
      </c>
      <c r="H411" s="106">
        <f>'Detailed Report'!AS407</f>
        <v>94.942980000000006</v>
      </c>
      <c r="I411" s="106">
        <f>'Detailed Report'!AT407</f>
        <v>13.2920172</v>
      </c>
      <c r="J411" s="106">
        <f>'Detailed Report'!AO407</f>
        <v>7.5764500000000004</v>
      </c>
      <c r="K411" s="106">
        <f>'Detailed Report'!AP407</f>
        <v>1.060703</v>
      </c>
      <c r="L411" s="106">
        <f>'Detailed Report'!AU407/1.14</f>
        <v>25.42982456140351</v>
      </c>
      <c r="M411" s="106">
        <f>'Detailed Report'!AU407-L411</f>
        <v>3.5601754385964881</v>
      </c>
      <c r="N411" s="110">
        <f>'Detailed Report'!AW407</f>
        <v>287.07799999999997</v>
      </c>
      <c r="O411" s="111">
        <f t="shared" si="52"/>
        <v>92.693930000000023</v>
      </c>
      <c r="P411" s="110">
        <f>'Detailed Report'!AM407</f>
        <v>0</v>
      </c>
      <c r="Q411" s="110">
        <f>'Detailed Report'!AN407</f>
        <v>0</v>
      </c>
      <c r="R411" s="110">
        <f>'Detailed Report'!AU407/1.14</f>
        <v>25.42982456140351</v>
      </c>
      <c r="S411" s="110">
        <f>'Detailed Report'!AU407-'........... - Otlob'!R411</f>
        <v>3.5601754385964881</v>
      </c>
    </row>
    <row r="412" spans="1:19" ht="14.45" customHeight="1" x14ac:dyDescent="0.25">
      <c r="A412" s="105">
        <f>+IF(B412="","",SUBTOTAL(3,B$8:B412))</f>
        <v>405</v>
      </c>
      <c r="B412" s="106" t="str">
        <f>'Detailed Report'!O408</f>
        <v>Fuddruckers - Concord Plaza Mall</v>
      </c>
      <c r="C412" s="107">
        <f>TRUNC('Detailed Report'!Q408,0)</f>
        <v>46037</v>
      </c>
      <c r="D412" s="108">
        <f>'Detailed Report'!P408</f>
        <v>3401255627</v>
      </c>
      <c r="E412" s="106" t="str">
        <f>'Detailed Report'!S408</f>
        <v>Successful</v>
      </c>
      <c r="F412" s="109">
        <f>IF(E412=$E$6,('Detailed Report'!Y408),IF(E412=$E$5,(0),0))</f>
        <v>329.99</v>
      </c>
      <c r="G412" s="106">
        <f>IF(E412=$E$6,('Detailed Report'!AQ408),IF(E412=$E$5,('Detailed Report'!AW408),0))</f>
        <v>289.46490999999997</v>
      </c>
      <c r="H412" s="106">
        <f>'Detailed Report'!AS408</f>
        <v>72.366230000000002</v>
      </c>
      <c r="I412" s="106">
        <f>'Detailed Report'!AT408</f>
        <v>10.1312722</v>
      </c>
      <c r="J412" s="106">
        <f>'Detailed Report'!AO408</f>
        <v>5.7748249999999999</v>
      </c>
      <c r="K412" s="106">
        <f>'Detailed Report'!AP408</f>
        <v>0.80847550000000001</v>
      </c>
      <c r="L412" s="106">
        <f>'Detailed Report'!AU408/1.14</f>
        <v>28.938596491228076</v>
      </c>
      <c r="M412" s="106">
        <f>'Detailed Report'!AU408-L412</f>
        <v>4.0514035087719265</v>
      </c>
      <c r="N412" s="110">
        <f>'Detailed Report'!AW408</f>
        <v>207.91900000000001</v>
      </c>
      <c r="O412" s="111">
        <f t="shared" si="52"/>
        <v>81.545909999999964</v>
      </c>
      <c r="P412" s="110">
        <f>'Detailed Report'!AM408</f>
        <v>0</v>
      </c>
      <c r="Q412" s="110">
        <f>'Detailed Report'!AN408</f>
        <v>0</v>
      </c>
      <c r="R412" s="110">
        <f>'Detailed Report'!AU408/1.14</f>
        <v>28.938596491228076</v>
      </c>
      <c r="S412" s="110">
        <f>'Detailed Report'!AU408-'........... - Otlob'!R412</f>
        <v>4.0514035087719265</v>
      </c>
    </row>
    <row r="413" spans="1:19" ht="14.45" customHeight="1" x14ac:dyDescent="0.25">
      <c r="A413" s="105">
        <f>+IF(B413="","",SUBTOTAL(3,B$8:B413))</f>
        <v>406</v>
      </c>
      <c r="B413" s="106" t="str">
        <f>'Detailed Report'!O409</f>
        <v>Fuddruckers - New Maadi</v>
      </c>
      <c r="C413" s="107">
        <f>TRUNC('Detailed Report'!Q409,0)</f>
        <v>46037</v>
      </c>
      <c r="D413" s="108">
        <f>'Detailed Report'!P409</f>
        <v>3401274454</v>
      </c>
      <c r="E413" s="106" t="str">
        <f>'Detailed Report'!S409</f>
        <v>Charged Cancelled</v>
      </c>
      <c r="F413" s="109">
        <f>IF(E413=$E$6,('Detailed Report'!Y409),IF(E413=$E$5,(0),0))</f>
        <v>0</v>
      </c>
      <c r="G413" s="106">
        <f>IF(E413=$E$6,('Detailed Report'!AQ409),IF(E413=$E$5,('Detailed Report'!AW409),0))</f>
        <v>-56.497</v>
      </c>
      <c r="H413" s="106">
        <f>'Detailed Report'!AS409</f>
        <v>49.55921</v>
      </c>
      <c r="I413" s="106">
        <f>'Detailed Report'!AT409</f>
        <v>6.9382894000000004</v>
      </c>
      <c r="J413" s="106">
        <f>'Detailed Report'!AO409</f>
        <v>0</v>
      </c>
      <c r="K413" s="106">
        <f>'Detailed Report'!AP409</f>
        <v>0</v>
      </c>
      <c r="L413" s="106">
        <f>'Detailed Report'!AU409/1.14</f>
        <v>0</v>
      </c>
      <c r="M413" s="106">
        <f>'Detailed Report'!AU409-L413</f>
        <v>0</v>
      </c>
      <c r="N413" s="110">
        <f>'Detailed Report'!AW409</f>
        <v>-56.497</v>
      </c>
      <c r="O413" s="111">
        <f t="shared" si="52"/>
        <v>0</v>
      </c>
      <c r="P413" s="110">
        <f>'Detailed Report'!AM409</f>
        <v>0</v>
      </c>
      <c r="Q413" s="110">
        <f>'Detailed Report'!AN409</f>
        <v>0</v>
      </c>
      <c r="R413" s="110">
        <f>'Detailed Report'!AU409/1.14</f>
        <v>0</v>
      </c>
      <c r="S413" s="110">
        <f>'Detailed Report'!AU409-'........... - Otlob'!R413</f>
        <v>0</v>
      </c>
    </row>
    <row r="414" spans="1:19" ht="14.45" customHeight="1" x14ac:dyDescent="0.25">
      <c r="A414" s="105">
        <f>+IF(B414="","",SUBTOTAL(3,B$8:B414))</f>
        <v>407</v>
      </c>
      <c r="B414" s="106" t="str">
        <f>'Detailed Report'!O410</f>
        <v>Fuddruckers - Concord Plaza Mall</v>
      </c>
      <c r="C414" s="107">
        <f>TRUNC('Detailed Report'!Q410,0)</f>
        <v>46037</v>
      </c>
      <c r="D414" s="108">
        <f>'Detailed Report'!P410</f>
        <v>3401289762</v>
      </c>
      <c r="E414" s="106" t="str">
        <f>'Detailed Report'!S410</f>
        <v>Successful</v>
      </c>
      <c r="F414" s="109">
        <f>IF(E414=$E$6,('Detailed Report'!Y410),IF(E414=$E$5,(0),0))</f>
        <v>536.97</v>
      </c>
      <c r="G414" s="106">
        <f>IF(E414=$E$6,('Detailed Report'!AQ410),IF(E414=$E$5,('Detailed Report'!AW410),0))</f>
        <v>471.02632</v>
      </c>
      <c r="H414" s="106">
        <f>'Detailed Report'!AS410</f>
        <v>117.75658</v>
      </c>
      <c r="I414" s="106">
        <f>'Detailed Report'!AT410</f>
        <v>16.4859212</v>
      </c>
      <c r="J414" s="106">
        <f>'Detailed Report'!AO410</f>
        <v>9.3969749999999994</v>
      </c>
      <c r="K414" s="106">
        <f>'Detailed Report'!AP410</f>
        <v>1.3155764999999999</v>
      </c>
      <c r="L414" s="106">
        <f>'Detailed Report'!AU410/1.14</f>
        <v>28.938596491228076</v>
      </c>
      <c r="M414" s="106">
        <f>'Detailed Report'!AU410-L414</f>
        <v>4.0514035087719265</v>
      </c>
      <c r="N414" s="110">
        <f>'Detailed Report'!AW410</f>
        <v>359.02499999999998</v>
      </c>
      <c r="O414" s="111">
        <f t="shared" si="52"/>
        <v>112.00132000000002</v>
      </c>
      <c r="P414" s="110">
        <f>'Detailed Report'!AM410</f>
        <v>0</v>
      </c>
      <c r="Q414" s="110">
        <f>'Detailed Report'!AN410</f>
        <v>0</v>
      </c>
      <c r="R414" s="110">
        <f>'Detailed Report'!AU410/1.14</f>
        <v>28.938596491228076</v>
      </c>
      <c r="S414" s="110">
        <f>'Detailed Report'!AU410-'........... - Otlob'!R414</f>
        <v>4.0514035087719265</v>
      </c>
    </row>
    <row r="415" spans="1:19" ht="14.45" customHeight="1" x14ac:dyDescent="0.25">
      <c r="A415" s="105">
        <f>+IF(B415="","",SUBTOTAL(3,B$8:B415))</f>
        <v>408</v>
      </c>
      <c r="B415" s="106" t="str">
        <f>'Detailed Report'!O411</f>
        <v>Fuddruckers - Concord Plaza Mall</v>
      </c>
      <c r="C415" s="107">
        <f>TRUNC('Detailed Report'!Q411,0)</f>
        <v>46037</v>
      </c>
      <c r="D415" s="108">
        <f>'Detailed Report'!P411</f>
        <v>3401399777</v>
      </c>
      <c r="E415" s="106" t="str">
        <f>'Detailed Report'!S411</f>
        <v>Successful</v>
      </c>
      <c r="F415" s="109">
        <f>IF(E415=$E$6,('Detailed Report'!Y411),IF(E415=$E$5,(0),0))</f>
        <v>249.98</v>
      </c>
      <c r="G415" s="106">
        <f>IF(E415=$E$6,('Detailed Report'!AQ411),IF(E415=$E$5,('Detailed Report'!AW411),0))</f>
        <v>219.2807</v>
      </c>
      <c r="H415" s="106">
        <f>'Detailed Report'!AS411</f>
        <v>54.820180000000001</v>
      </c>
      <c r="I415" s="106">
        <f>'Detailed Report'!AT411</f>
        <v>7.6748251999999999</v>
      </c>
      <c r="J415" s="106">
        <f>'Detailed Report'!AO411</f>
        <v>4.3746499999999999</v>
      </c>
      <c r="K415" s="106">
        <f>'Detailed Report'!AP411</f>
        <v>0.61245099999999997</v>
      </c>
      <c r="L415" s="106">
        <f>'Detailed Report'!AU411/1.14</f>
        <v>0</v>
      </c>
      <c r="M415" s="106">
        <f>'Detailed Report'!AU411-L415</f>
        <v>0</v>
      </c>
      <c r="N415" s="110">
        <f>'Detailed Report'!AW411</f>
        <v>182.49799999999999</v>
      </c>
      <c r="O415" s="111">
        <f t="shared" si="52"/>
        <v>36.782700000000006</v>
      </c>
      <c r="P415" s="110">
        <f>'Detailed Report'!AM411</f>
        <v>0</v>
      </c>
      <c r="Q415" s="110">
        <f>'Detailed Report'!AN411</f>
        <v>0</v>
      </c>
      <c r="R415" s="110">
        <f>'Detailed Report'!AU411/1.14</f>
        <v>0</v>
      </c>
      <c r="S415" s="110">
        <f>'Detailed Report'!AU411-'........... - Otlob'!R415</f>
        <v>0</v>
      </c>
    </row>
    <row r="416" spans="1:19" ht="14.45" customHeight="1" x14ac:dyDescent="0.25">
      <c r="A416" s="105">
        <f>+IF(B416="","",SUBTOTAL(3,B$8:B416))</f>
        <v>409</v>
      </c>
      <c r="B416" s="106" t="str">
        <f>'Detailed Report'!O412</f>
        <v>Fuddruckers - Concord Plaza Mall</v>
      </c>
      <c r="C416" s="107">
        <f>TRUNC('Detailed Report'!Q412,0)</f>
        <v>46037</v>
      </c>
      <c r="D416" s="108">
        <f>'Detailed Report'!P412</f>
        <v>3401419053</v>
      </c>
      <c r="E416" s="106" t="str">
        <f>'Detailed Report'!S412</f>
        <v>Successful</v>
      </c>
      <c r="F416" s="109">
        <f>IF(E416=$E$6,('Detailed Report'!Y412),IF(E416=$E$5,(0),0))</f>
        <v>424.66</v>
      </c>
      <c r="G416" s="106">
        <f>IF(E416=$E$6,('Detailed Report'!AQ412),IF(E416=$E$5,('Detailed Report'!AW412),0))</f>
        <v>372.50877000000003</v>
      </c>
      <c r="H416" s="106">
        <f>'Detailed Report'!AS412</f>
        <v>93.127189999999999</v>
      </c>
      <c r="I416" s="106">
        <f>'Detailed Report'!AT412</f>
        <v>13.0378066</v>
      </c>
      <c r="J416" s="106">
        <f>'Detailed Report'!AO412</f>
        <v>7.4315499999999997</v>
      </c>
      <c r="K416" s="106">
        <f>'Detailed Report'!AP412</f>
        <v>1.0404169999999999</v>
      </c>
      <c r="L416" s="106">
        <f>'Detailed Report'!AU412/1.14</f>
        <v>30.692982456140356</v>
      </c>
      <c r="M416" s="106">
        <f>'Detailed Report'!AU412-L416</f>
        <v>4.2970175438596456</v>
      </c>
      <c r="N416" s="110">
        <f>'Detailed Report'!AW412</f>
        <v>275.03300000000002</v>
      </c>
      <c r="O416" s="111">
        <f t="shared" si="52"/>
        <v>97.475770000000011</v>
      </c>
      <c r="P416" s="110">
        <f>'Detailed Report'!AM412</f>
        <v>0</v>
      </c>
      <c r="Q416" s="110">
        <f>'Detailed Report'!AN412</f>
        <v>0</v>
      </c>
      <c r="R416" s="110">
        <f>'Detailed Report'!AU412/1.14</f>
        <v>30.692982456140356</v>
      </c>
      <c r="S416" s="110">
        <f>'Detailed Report'!AU412-'........... - Otlob'!R416</f>
        <v>4.2970175438596456</v>
      </c>
    </row>
    <row r="417" spans="1:19" ht="14.45" customHeight="1" x14ac:dyDescent="0.25">
      <c r="A417" s="105">
        <f>+IF(B417="","",SUBTOTAL(3,B$8:B417))</f>
        <v>410</v>
      </c>
      <c r="B417" s="106" t="str">
        <f>'Detailed Report'!O413</f>
        <v>Fuddruckers - Concord Plaza Mall</v>
      </c>
      <c r="C417" s="107">
        <f>TRUNC('Detailed Report'!Q413,0)</f>
        <v>46037</v>
      </c>
      <c r="D417" s="108">
        <f>'Detailed Report'!P413</f>
        <v>3401487022</v>
      </c>
      <c r="E417" s="106" t="str">
        <f>'Detailed Report'!S413</f>
        <v>Successful</v>
      </c>
      <c r="F417" s="109">
        <f>IF(E417=$E$6,('Detailed Report'!Y413),IF(E417=$E$5,(0),0))</f>
        <v>1797.31</v>
      </c>
      <c r="G417" s="106">
        <f>IF(E417=$E$6,('Detailed Report'!AQ413),IF(E417=$E$5,('Detailed Report'!AW413),0))</f>
        <v>1576.58772</v>
      </c>
      <c r="H417" s="106">
        <f>'Detailed Report'!AS413</f>
        <v>394.14693</v>
      </c>
      <c r="I417" s="106">
        <f>'Detailed Report'!AT413</f>
        <v>55.180570199999998</v>
      </c>
      <c r="J417" s="106">
        <f>'Detailed Report'!AO413</f>
        <v>31.452925</v>
      </c>
      <c r="K417" s="106">
        <f>'Detailed Report'!AP413</f>
        <v>4.4034095000000004</v>
      </c>
      <c r="L417" s="106">
        <f>'Detailed Report'!AU413/1.14</f>
        <v>28.061403508771932</v>
      </c>
      <c r="M417" s="106">
        <f>'Detailed Report'!AU413-L417</f>
        <v>3.9285964912280669</v>
      </c>
      <c r="N417" s="110">
        <f>'Detailed Report'!AW413</f>
        <v>1280.136</v>
      </c>
      <c r="O417" s="111">
        <f t="shared" si="52"/>
        <v>296.45172000000002</v>
      </c>
      <c r="P417" s="110">
        <f>'Detailed Report'!AM413</f>
        <v>0</v>
      </c>
      <c r="Q417" s="110">
        <f>'Detailed Report'!AN413</f>
        <v>0</v>
      </c>
      <c r="R417" s="110">
        <f>'Detailed Report'!AU413/1.14</f>
        <v>28.061403508771932</v>
      </c>
      <c r="S417" s="110">
        <f>'Detailed Report'!AU413-'........... - Otlob'!R417</f>
        <v>3.9285964912280669</v>
      </c>
    </row>
    <row r="418" spans="1:19" ht="14.45" customHeight="1" x14ac:dyDescent="0.25">
      <c r="A418" s="105">
        <f>+IF(B418="","",SUBTOTAL(3,B$8:B418))</f>
        <v>411</v>
      </c>
      <c r="B418" s="106" t="str">
        <f>'Detailed Report'!O414</f>
        <v>Fuddruckers - City Stars</v>
      </c>
      <c r="C418" s="107">
        <f>TRUNC('Detailed Report'!Q414,0)</f>
        <v>46037</v>
      </c>
      <c r="D418" s="108">
        <f>'Detailed Report'!P414</f>
        <v>3401489409</v>
      </c>
      <c r="E418" s="106" t="str">
        <f>'Detailed Report'!S414</f>
        <v>Successful</v>
      </c>
      <c r="F418" s="109">
        <f>IF(E418=$E$6,('Detailed Report'!Y414),IF(E418=$E$5,(0),0))</f>
        <v>352.99</v>
      </c>
      <c r="G418" s="106">
        <f>IF(E418=$E$6,('Detailed Report'!AQ414),IF(E418=$E$5,('Detailed Report'!AW414),0))</f>
        <v>309.64035000000001</v>
      </c>
      <c r="H418" s="106">
        <f>'Detailed Report'!AS414</f>
        <v>77.410089999999997</v>
      </c>
      <c r="I418" s="106">
        <f>'Detailed Report'!AT414</f>
        <v>10.8374126</v>
      </c>
      <c r="J418" s="106">
        <f>'Detailed Report'!AO414</f>
        <v>6.1773249999999997</v>
      </c>
      <c r="K418" s="106">
        <f>'Detailed Report'!AP414</f>
        <v>0.86482550000000002</v>
      </c>
      <c r="L418" s="106">
        <f>'Detailed Report'!AU414/1.14</f>
        <v>25.42982456140351</v>
      </c>
      <c r="M418" s="106">
        <f>'Detailed Report'!AU414-L418</f>
        <v>3.5601754385964881</v>
      </c>
      <c r="N418" s="110">
        <f>'Detailed Report'!AW414</f>
        <v>228.71</v>
      </c>
      <c r="O418" s="111">
        <f t="shared" si="52"/>
        <v>80.930350000000004</v>
      </c>
      <c r="P418" s="110">
        <f>'Detailed Report'!AM414</f>
        <v>0</v>
      </c>
      <c r="Q418" s="110">
        <f>'Detailed Report'!AN414</f>
        <v>0</v>
      </c>
      <c r="R418" s="110">
        <f>'Detailed Report'!AU414/1.14</f>
        <v>25.42982456140351</v>
      </c>
      <c r="S418" s="110">
        <f>'Detailed Report'!AU414-'........... - Otlob'!R418</f>
        <v>3.5601754385964881</v>
      </c>
    </row>
    <row r="419" spans="1:19" ht="14.45" customHeight="1" x14ac:dyDescent="0.25">
      <c r="A419" s="105">
        <f>+IF(B419="","",SUBTOTAL(3,B$8:B419))</f>
        <v>412</v>
      </c>
      <c r="B419" s="106" t="str">
        <f>'Detailed Report'!O415</f>
        <v>Fuddruckers - New Maadi</v>
      </c>
      <c r="C419" s="107">
        <f>TRUNC('Detailed Report'!Q415,0)</f>
        <v>46037</v>
      </c>
      <c r="D419" s="108">
        <f>'Detailed Report'!P415</f>
        <v>3401489788</v>
      </c>
      <c r="E419" s="106" t="str">
        <f>'Detailed Report'!S415</f>
        <v>Successful</v>
      </c>
      <c r="F419" s="109">
        <f>IF(E419=$E$6,('Detailed Report'!Y415),IF(E419=$E$5,(0),0))</f>
        <v>352</v>
      </c>
      <c r="G419" s="106">
        <f>IF(E419=$E$6,('Detailed Report'!AQ415),IF(E419=$E$5,('Detailed Report'!AW415),0))</f>
        <v>308.77193</v>
      </c>
      <c r="H419" s="106">
        <f>'Detailed Report'!AS415</f>
        <v>77.192980000000006</v>
      </c>
      <c r="I419" s="106">
        <f>'Detailed Report'!AT415</f>
        <v>10.807017200000001</v>
      </c>
      <c r="J419" s="106">
        <f>'Detailed Report'!AO415</f>
        <v>6.16</v>
      </c>
      <c r="K419" s="106">
        <f>'Detailed Report'!AP415</f>
        <v>0.86240000000000006</v>
      </c>
      <c r="L419" s="106">
        <f>'Detailed Report'!AU415/1.14</f>
        <v>24.55263157894737</v>
      </c>
      <c r="M419" s="106">
        <f>'Detailed Report'!AU415-L419</f>
        <v>3.4373684210526285</v>
      </c>
      <c r="N419" s="110">
        <f>'Detailed Report'!AW415</f>
        <v>228.988</v>
      </c>
      <c r="O419" s="111">
        <f t="shared" si="52"/>
        <v>79.783929999999998</v>
      </c>
      <c r="P419" s="110">
        <f>'Detailed Report'!AM415</f>
        <v>0</v>
      </c>
      <c r="Q419" s="110">
        <f>'Detailed Report'!AN415</f>
        <v>0</v>
      </c>
      <c r="R419" s="110">
        <f>'Detailed Report'!AU415/1.14</f>
        <v>24.55263157894737</v>
      </c>
      <c r="S419" s="110">
        <f>'Detailed Report'!AU415-'........... - Otlob'!R419</f>
        <v>3.4373684210526285</v>
      </c>
    </row>
    <row r="420" spans="1:19" ht="14.45" customHeight="1" x14ac:dyDescent="0.25">
      <c r="A420" s="105">
        <f>+IF(B420="","",SUBTOTAL(3,B$8:B420))</f>
        <v>413</v>
      </c>
      <c r="B420" s="106" t="str">
        <f>'Detailed Report'!O416</f>
        <v>Fuddruckers - Concord Plaza Mall</v>
      </c>
      <c r="C420" s="107">
        <f>TRUNC('Detailed Report'!Q416,0)</f>
        <v>46037</v>
      </c>
      <c r="D420" s="108">
        <f>'Detailed Report'!P416</f>
        <v>3401566107</v>
      </c>
      <c r="E420" s="106" t="str">
        <f>'Detailed Report'!S416</f>
        <v>Successful</v>
      </c>
      <c r="F420" s="109">
        <f>IF(E420=$E$6,('Detailed Report'!Y416),IF(E420=$E$5,(0),0))</f>
        <v>584.96</v>
      </c>
      <c r="G420" s="106">
        <f>IF(E420=$E$6,('Detailed Report'!AQ416),IF(E420=$E$5,('Detailed Report'!AW416),0))</f>
        <v>513.12280999999996</v>
      </c>
      <c r="H420" s="106">
        <f>'Detailed Report'!AS416</f>
        <v>128.2807</v>
      </c>
      <c r="I420" s="106">
        <f>'Detailed Report'!AT416</f>
        <v>17.959298</v>
      </c>
      <c r="J420" s="106">
        <f>'Detailed Report'!AO416</f>
        <v>10.236800000000001</v>
      </c>
      <c r="K420" s="106">
        <f>'Detailed Report'!AP416</f>
        <v>1.433152</v>
      </c>
      <c r="L420" s="106">
        <f>'Detailed Report'!AU416/1.14</f>
        <v>0</v>
      </c>
      <c r="M420" s="106">
        <f>'Detailed Report'!AU416-L420</f>
        <v>0</v>
      </c>
      <c r="N420" s="110">
        <f>'Detailed Report'!AW416</f>
        <v>392.85</v>
      </c>
      <c r="O420" s="111">
        <f t="shared" si="52"/>
        <v>120.27280999999994</v>
      </c>
      <c r="P420" s="110">
        <f>'Detailed Report'!AM416</f>
        <v>30</v>
      </c>
      <c r="Q420" s="110">
        <f>'Detailed Report'!AN416</f>
        <v>4.2</v>
      </c>
      <c r="R420" s="110">
        <f>'Detailed Report'!AU416/1.14</f>
        <v>0</v>
      </c>
      <c r="S420" s="110">
        <f>'Detailed Report'!AU416-'........... - Otlob'!R420</f>
        <v>0</v>
      </c>
    </row>
    <row r="421" spans="1:19" ht="14.45" customHeight="1" x14ac:dyDescent="0.25">
      <c r="A421" s="105">
        <f>+IF(B421="","",SUBTOTAL(3,B$8:B421))</f>
        <v>414</v>
      </c>
      <c r="B421" s="106" t="str">
        <f>'Detailed Report'!O417</f>
        <v>Fuddruckers - Concord Plaza Mall</v>
      </c>
      <c r="C421" s="107">
        <f>TRUNC('Detailed Report'!Q417,0)</f>
        <v>46037</v>
      </c>
      <c r="D421" s="108">
        <f>'Detailed Report'!P417</f>
        <v>3401586926</v>
      </c>
      <c r="E421" s="106" t="str">
        <f>'Detailed Report'!S417</f>
        <v>Successful</v>
      </c>
      <c r="F421" s="109">
        <f>IF(E421=$E$6,('Detailed Report'!Y417),IF(E421=$E$5,(0),0))</f>
        <v>250.99</v>
      </c>
      <c r="G421" s="106">
        <f>IF(E421=$E$6,('Detailed Report'!AQ417),IF(E421=$E$5,('Detailed Report'!AW417),0))</f>
        <v>220.16667000000001</v>
      </c>
      <c r="H421" s="106">
        <f>'Detailed Report'!AS417</f>
        <v>55.041670000000003</v>
      </c>
      <c r="I421" s="106">
        <f>'Detailed Report'!AT417</f>
        <v>7.7058337999999997</v>
      </c>
      <c r="J421" s="106">
        <f>'Detailed Report'!AO417</f>
        <v>4.3923249999999996</v>
      </c>
      <c r="K421" s="106">
        <f>'Detailed Report'!AP417</f>
        <v>0.61492550000000001</v>
      </c>
      <c r="L421" s="106">
        <f>'Detailed Report'!AU417/1.14</f>
        <v>27.184210526315791</v>
      </c>
      <c r="M421" s="106">
        <f>'Detailed Report'!AU417-L421</f>
        <v>3.8057894736842073</v>
      </c>
      <c r="N421" s="110">
        <f>'Detailed Report'!AW417</f>
        <v>152.245</v>
      </c>
      <c r="O421" s="111">
        <f t="shared" si="52"/>
        <v>67.921670000000006</v>
      </c>
      <c r="P421" s="110">
        <f>'Detailed Report'!AM417</f>
        <v>0</v>
      </c>
      <c r="Q421" s="110">
        <f>'Detailed Report'!AN417</f>
        <v>0</v>
      </c>
      <c r="R421" s="110">
        <f>'Detailed Report'!AU417/1.14</f>
        <v>27.184210526315791</v>
      </c>
      <c r="S421" s="110">
        <f>'Detailed Report'!AU417-'........... - Otlob'!R421</f>
        <v>3.8057894736842073</v>
      </c>
    </row>
    <row r="422" spans="1:19" ht="14.45" customHeight="1" x14ac:dyDescent="0.25">
      <c r="A422" s="105">
        <f>+IF(B422="","",SUBTOTAL(3,B$8:B422))</f>
        <v>415</v>
      </c>
      <c r="B422" s="106" t="str">
        <f>'Detailed Report'!O418</f>
        <v>Fuddruckers - New Maadi</v>
      </c>
      <c r="C422" s="107">
        <f>TRUNC('Detailed Report'!Q418,0)</f>
        <v>46037</v>
      </c>
      <c r="D422" s="108">
        <f>'Detailed Report'!P418</f>
        <v>3401628727</v>
      </c>
      <c r="E422" s="106" t="str">
        <f>'Detailed Report'!S418</f>
        <v>Successful</v>
      </c>
      <c r="F422" s="109">
        <f>IF(E422=$E$6,('Detailed Report'!Y418),IF(E422=$E$5,(0),0))</f>
        <v>266.99</v>
      </c>
      <c r="G422" s="106">
        <f>IF(E422=$E$6,('Detailed Report'!AQ418),IF(E422=$E$5,('Detailed Report'!AW418),0))</f>
        <v>234.20175</v>
      </c>
      <c r="H422" s="106">
        <f>'Detailed Report'!AS418</f>
        <v>58.550440000000002</v>
      </c>
      <c r="I422" s="106">
        <f>'Detailed Report'!AT418</f>
        <v>8.1970615999999996</v>
      </c>
      <c r="J422" s="106">
        <f>'Detailed Report'!AO418</f>
        <v>4.6723249999999998</v>
      </c>
      <c r="K422" s="106">
        <f>'Detailed Report'!AP418</f>
        <v>0.65412550000000003</v>
      </c>
      <c r="L422" s="106">
        <f>'Detailed Report'!AU418/1.14</f>
        <v>0</v>
      </c>
      <c r="M422" s="106">
        <f>'Detailed Report'!AU418-L422</f>
        <v>0</v>
      </c>
      <c r="N422" s="110">
        <f>'Detailed Report'!AW418</f>
        <v>194.916</v>
      </c>
      <c r="O422" s="111">
        <f t="shared" si="52"/>
        <v>39.285750000000007</v>
      </c>
      <c r="P422" s="110">
        <f>'Detailed Report'!AM418</f>
        <v>0</v>
      </c>
      <c r="Q422" s="110">
        <f>'Detailed Report'!AN418</f>
        <v>0</v>
      </c>
      <c r="R422" s="110">
        <f>'Detailed Report'!AU418/1.14</f>
        <v>0</v>
      </c>
      <c r="S422" s="110">
        <f>'Detailed Report'!AU418-'........... - Otlob'!R422</f>
        <v>0</v>
      </c>
    </row>
    <row r="423" spans="1:19" ht="14.45" customHeight="1" x14ac:dyDescent="0.25">
      <c r="A423" s="105">
        <f>+IF(B423="","",SUBTOTAL(3,B$8:B423))</f>
        <v>416</v>
      </c>
      <c r="B423" s="106" t="str">
        <f>'Detailed Report'!O419</f>
        <v>Fuddruckers - New Maadi</v>
      </c>
      <c r="C423" s="107">
        <f>TRUNC('Detailed Report'!Q419,0)</f>
        <v>46037</v>
      </c>
      <c r="D423" s="108">
        <f>'Detailed Report'!P419</f>
        <v>3401633943</v>
      </c>
      <c r="E423" s="106" t="str">
        <f>'Detailed Report'!S419</f>
        <v>Successful</v>
      </c>
      <c r="F423" s="109">
        <f>IF(E423=$E$6,('Detailed Report'!Y419),IF(E423=$E$5,(0),0))</f>
        <v>788.96</v>
      </c>
      <c r="G423" s="106">
        <f>IF(E423=$E$6,('Detailed Report'!AQ419),IF(E423=$E$5,('Detailed Report'!AW419),0))</f>
        <v>692.07018000000005</v>
      </c>
      <c r="H423" s="106">
        <f>'Detailed Report'!AS419</f>
        <v>173.01755</v>
      </c>
      <c r="I423" s="106">
        <f>'Detailed Report'!AT419</f>
        <v>24.222456999999999</v>
      </c>
      <c r="J423" s="106">
        <f>'Detailed Report'!AO419</f>
        <v>13.806800000000001</v>
      </c>
      <c r="K423" s="106">
        <f>'Detailed Report'!AP419</f>
        <v>1.932952</v>
      </c>
      <c r="L423" s="106">
        <f>'Detailed Report'!AU419/1.14</f>
        <v>0</v>
      </c>
      <c r="M423" s="106">
        <f>'Detailed Report'!AU419-L423</f>
        <v>0</v>
      </c>
      <c r="N423" s="110">
        <f>'Detailed Report'!AW419</f>
        <v>575.98</v>
      </c>
      <c r="O423" s="111">
        <f t="shared" si="52"/>
        <v>116.09018000000003</v>
      </c>
      <c r="P423" s="110">
        <f>'Detailed Report'!AM419</f>
        <v>0</v>
      </c>
      <c r="Q423" s="110">
        <f>'Detailed Report'!AN419</f>
        <v>0</v>
      </c>
      <c r="R423" s="110">
        <f>'Detailed Report'!AU419/1.14</f>
        <v>0</v>
      </c>
      <c r="S423" s="110">
        <f>'Detailed Report'!AU419-'........... - Otlob'!R423</f>
        <v>0</v>
      </c>
    </row>
    <row r="424" spans="1:19" ht="14.45" customHeight="1" x14ac:dyDescent="0.25">
      <c r="A424" s="105">
        <f>+IF(B424="","",SUBTOTAL(3,B$8:B424))</f>
        <v>417</v>
      </c>
      <c r="B424" s="106" t="str">
        <f>'Detailed Report'!O420</f>
        <v>Fuddruckers - City Stars</v>
      </c>
      <c r="C424" s="107">
        <f>TRUNC('Detailed Report'!Q420,0)</f>
        <v>46037</v>
      </c>
      <c r="D424" s="108">
        <f>'Detailed Report'!P420</f>
        <v>3401637346</v>
      </c>
      <c r="E424" s="106" t="str">
        <f>'Detailed Report'!S420</f>
        <v>Successful</v>
      </c>
      <c r="F424" s="109">
        <f>IF(E424=$E$6,('Detailed Report'!Y420),IF(E424=$E$5,(0),0))</f>
        <v>394.43</v>
      </c>
      <c r="G424" s="106">
        <f>IF(E424=$E$6,('Detailed Report'!AQ420),IF(E424=$E$5,('Detailed Report'!AW420),0))</f>
        <v>345.99122999999997</v>
      </c>
      <c r="H424" s="106">
        <f>'Detailed Report'!AS420</f>
        <v>86.497810000000001</v>
      </c>
      <c r="I424" s="106">
        <f>'Detailed Report'!AT420</f>
        <v>12.109693399999999</v>
      </c>
      <c r="J424" s="106">
        <f>'Detailed Report'!AO420</f>
        <v>6.9025249999999998</v>
      </c>
      <c r="K424" s="106">
        <f>'Detailed Report'!AP420</f>
        <v>0.96635349999999998</v>
      </c>
      <c r="L424" s="106">
        <f>'Detailed Report'!AU420/1.14</f>
        <v>23.67543859649123</v>
      </c>
      <c r="M424" s="106">
        <f>'Detailed Report'!AU420-L424</f>
        <v>3.3145614035087689</v>
      </c>
      <c r="N424" s="110">
        <f>'Detailed Report'!AW420</f>
        <v>260.964</v>
      </c>
      <c r="O424" s="111">
        <f t="shared" si="52"/>
        <v>85.027229999999975</v>
      </c>
      <c r="P424" s="110">
        <f>'Detailed Report'!AM420</f>
        <v>0</v>
      </c>
      <c r="Q424" s="110">
        <f>'Detailed Report'!AN420</f>
        <v>0</v>
      </c>
      <c r="R424" s="110">
        <f>'Detailed Report'!AU420/1.14</f>
        <v>23.67543859649123</v>
      </c>
      <c r="S424" s="110">
        <f>'Detailed Report'!AU420-'........... - Otlob'!R424</f>
        <v>3.3145614035087689</v>
      </c>
    </row>
    <row r="425" spans="1:19" ht="14.45" customHeight="1" x14ac:dyDescent="0.25">
      <c r="A425" s="105">
        <f>+IF(B425="","",SUBTOTAL(3,B$8:B425))</f>
        <v>418</v>
      </c>
      <c r="B425" s="106" t="str">
        <f>'Detailed Report'!O421</f>
        <v>Fuddruckers - New Maadi</v>
      </c>
      <c r="C425" s="107">
        <f>TRUNC('Detailed Report'!Q421,0)</f>
        <v>46037</v>
      </c>
      <c r="D425" s="108">
        <f>'Detailed Report'!P421</f>
        <v>3401676350</v>
      </c>
      <c r="E425" s="106" t="str">
        <f>'Detailed Report'!S421</f>
        <v>Successful</v>
      </c>
      <c r="F425" s="109">
        <f>IF(E425=$E$6,('Detailed Report'!Y421),IF(E425=$E$5,(0),0))</f>
        <v>267.67</v>
      </c>
      <c r="G425" s="106">
        <f>IF(E425=$E$6,('Detailed Report'!AQ421),IF(E425=$E$5,('Detailed Report'!AW421),0))</f>
        <v>234.79825</v>
      </c>
      <c r="H425" s="106">
        <f>'Detailed Report'!AS421</f>
        <v>58.699559999999998</v>
      </c>
      <c r="I425" s="106">
        <f>'Detailed Report'!AT421</f>
        <v>8.2179383999999995</v>
      </c>
      <c r="J425" s="106">
        <f>'Detailed Report'!AO421</f>
        <v>4.6842249999999996</v>
      </c>
      <c r="K425" s="106">
        <f>'Detailed Report'!AP421</f>
        <v>0.65579149999999997</v>
      </c>
      <c r="L425" s="106">
        <f>'Detailed Report'!AU421/1.14</f>
        <v>0</v>
      </c>
      <c r="M425" s="106">
        <f>'Detailed Report'!AU421-L425</f>
        <v>0</v>
      </c>
      <c r="N425" s="110">
        <f>'Detailed Report'!AW421</f>
        <v>195.41200000000001</v>
      </c>
      <c r="O425" s="111">
        <f t="shared" si="52"/>
        <v>39.38624999999999</v>
      </c>
      <c r="P425" s="110">
        <f>'Detailed Report'!AM421</f>
        <v>0</v>
      </c>
      <c r="Q425" s="110">
        <f>'Detailed Report'!AN421</f>
        <v>0</v>
      </c>
      <c r="R425" s="110">
        <f>'Detailed Report'!AU421/1.14</f>
        <v>0</v>
      </c>
      <c r="S425" s="110">
        <f>'Detailed Report'!AU421-'........... - Otlob'!R425</f>
        <v>0</v>
      </c>
    </row>
    <row r="426" spans="1:19" ht="14.45" customHeight="1" x14ac:dyDescent="0.25">
      <c r="A426" s="105">
        <f>+IF(B426="","",SUBTOTAL(3,B$8:B426))</f>
        <v>419</v>
      </c>
      <c r="B426" s="106" t="str">
        <f>'Detailed Report'!O422</f>
        <v>Fuddruckers - New Maadi</v>
      </c>
      <c r="C426" s="107">
        <f>TRUNC('Detailed Report'!Q422,0)</f>
        <v>46037</v>
      </c>
      <c r="D426" s="108">
        <f>'Detailed Report'!P422</f>
        <v>3401716669</v>
      </c>
      <c r="E426" s="106" t="str">
        <f>'Detailed Report'!S422</f>
        <v>Successful</v>
      </c>
      <c r="F426" s="109">
        <f>IF(E426=$E$6,('Detailed Report'!Y422),IF(E426=$E$5,(0),0))</f>
        <v>760.55</v>
      </c>
      <c r="G426" s="106">
        <f>IF(E426=$E$6,('Detailed Report'!AQ422),IF(E426=$E$5,('Detailed Report'!AW422),0))</f>
        <v>667.14912000000004</v>
      </c>
      <c r="H426" s="106">
        <f>'Detailed Report'!AS422</f>
        <v>166.78728000000001</v>
      </c>
      <c r="I426" s="106">
        <f>'Detailed Report'!AT422</f>
        <v>23.350219200000002</v>
      </c>
      <c r="J426" s="106">
        <f>'Detailed Report'!AO422</f>
        <v>13.309625</v>
      </c>
      <c r="K426" s="106">
        <f>'Detailed Report'!AP422</f>
        <v>1.8633474999999999</v>
      </c>
      <c r="L426" s="106">
        <f>'Detailed Report'!AU422/1.14</f>
        <v>0</v>
      </c>
      <c r="M426" s="106">
        <f>'Detailed Report'!AU422-L426</f>
        <v>0</v>
      </c>
      <c r="N426" s="110">
        <f>'Detailed Report'!AW422</f>
        <v>555.24</v>
      </c>
      <c r="O426" s="111">
        <f t="shared" si="52"/>
        <v>111.90912000000003</v>
      </c>
      <c r="P426" s="110">
        <f>'Detailed Report'!AM422</f>
        <v>0</v>
      </c>
      <c r="Q426" s="110">
        <f>'Detailed Report'!AN422</f>
        <v>0</v>
      </c>
      <c r="R426" s="110">
        <f>'Detailed Report'!AU422/1.14</f>
        <v>0</v>
      </c>
      <c r="S426" s="110">
        <f>'Detailed Report'!AU422-'........... - Otlob'!R426</f>
        <v>0</v>
      </c>
    </row>
    <row r="427" spans="1:19" ht="14.45" customHeight="1" x14ac:dyDescent="0.25">
      <c r="A427" s="105">
        <f>+IF(B427="","",SUBTOTAL(3,B$8:B427))</f>
        <v>420</v>
      </c>
      <c r="B427" s="106" t="str">
        <f>'Detailed Report'!O423</f>
        <v>Fuddruckers - City Stars</v>
      </c>
      <c r="C427" s="107">
        <f>TRUNC('Detailed Report'!Q423,0)</f>
        <v>46037</v>
      </c>
      <c r="D427" s="108">
        <f>'Detailed Report'!P423</f>
        <v>3401783090</v>
      </c>
      <c r="E427" s="106" t="str">
        <f>'Detailed Report'!S423</f>
        <v>Successful</v>
      </c>
      <c r="F427" s="109">
        <f>IF(E427=$E$6,('Detailed Report'!Y423),IF(E427=$E$5,(0),0))</f>
        <v>319.99</v>
      </c>
      <c r="G427" s="106">
        <f>IF(E427=$E$6,('Detailed Report'!AQ423),IF(E427=$E$5,('Detailed Report'!AW423),0))</f>
        <v>280.69297999999998</v>
      </c>
      <c r="H427" s="106">
        <f>'Detailed Report'!AS423</f>
        <v>70.173249999999996</v>
      </c>
      <c r="I427" s="106">
        <f>'Detailed Report'!AT423</f>
        <v>9.8242550000000008</v>
      </c>
      <c r="J427" s="106">
        <f>'Detailed Report'!AO423</f>
        <v>0</v>
      </c>
      <c r="K427" s="106">
        <f>'Detailed Report'!AP423</f>
        <v>0</v>
      </c>
      <c r="L427" s="106">
        <f>'Detailed Report'!AU423/1.14</f>
        <v>0</v>
      </c>
      <c r="M427" s="106">
        <f>'Detailed Report'!AU423-L427</f>
        <v>0</v>
      </c>
      <c r="N427" s="110">
        <f>'Detailed Report'!AW423</f>
        <v>239.99199999999999</v>
      </c>
      <c r="O427" s="111">
        <f t="shared" si="52"/>
        <v>40.700979999999987</v>
      </c>
      <c r="P427" s="110">
        <f>'Detailed Report'!AM423</f>
        <v>0</v>
      </c>
      <c r="Q427" s="110">
        <f>'Detailed Report'!AN423</f>
        <v>0</v>
      </c>
      <c r="R427" s="110">
        <f>'Detailed Report'!AU423/1.14</f>
        <v>0</v>
      </c>
      <c r="S427" s="110">
        <f>'Detailed Report'!AU423-'........... - Otlob'!R427</f>
        <v>0</v>
      </c>
    </row>
    <row r="428" spans="1:19" ht="14.45" customHeight="1" x14ac:dyDescent="0.25">
      <c r="A428" s="105">
        <f>+IF(B428="","",SUBTOTAL(3,B$8:B428))</f>
        <v>421</v>
      </c>
      <c r="B428" s="106" t="str">
        <f>'Detailed Report'!O424</f>
        <v>Fuddruckers - Concord Plaza Mall</v>
      </c>
      <c r="C428" s="107">
        <f>TRUNC('Detailed Report'!Q424,0)</f>
        <v>46037</v>
      </c>
      <c r="D428" s="108">
        <f>'Detailed Report'!P424</f>
        <v>3401792708</v>
      </c>
      <c r="E428" s="106" t="str">
        <f>'Detailed Report'!S424</f>
        <v>Successful</v>
      </c>
      <c r="F428" s="109">
        <f>IF(E428=$E$6,('Detailed Report'!Y424),IF(E428=$E$5,(0),0))</f>
        <v>363.99</v>
      </c>
      <c r="G428" s="106">
        <f>IF(E428=$E$6,('Detailed Report'!AQ424),IF(E428=$E$5,('Detailed Report'!AW424),0))</f>
        <v>319.28946999999999</v>
      </c>
      <c r="H428" s="106">
        <f>'Detailed Report'!AS424</f>
        <v>79.822370000000006</v>
      </c>
      <c r="I428" s="106">
        <f>'Detailed Report'!AT424</f>
        <v>11.175131800000001</v>
      </c>
      <c r="J428" s="106">
        <f>'Detailed Report'!AO424</f>
        <v>6.3698249999999996</v>
      </c>
      <c r="K428" s="106">
        <f>'Detailed Report'!AP424</f>
        <v>0.89177550000000005</v>
      </c>
      <c r="L428" s="106">
        <f>'Detailed Report'!AU424/1.14</f>
        <v>28.061403508771932</v>
      </c>
      <c r="M428" s="106">
        <f>'Detailed Report'!AU424-L428</f>
        <v>3.9285964912280669</v>
      </c>
      <c r="N428" s="110">
        <f>'Detailed Report'!AW424</f>
        <v>233.74100000000001</v>
      </c>
      <c r="O428" s="111">
        <f t="shared" si="52"/>
        <v>85.54846999999998</v>
      </c>
      <c r="P428" s="110">
        <f>'Detailed Report'!AM424</f>
        <v>0</v>
      </c>
      <c r="Q428" s="110">
        <f>'Detailed Report'!AN424</f>
        <v>0</v>
      </c>
      <c r="R428" s="110">
        <f>'Detailed Report'!AU424/1.14</f>
        <v>28.061403508771932</v>
      </c>
      <c r="S428" s="110">
        <f>'Detailed Report'!AU424-'........... - Otlob'!R428</f>
        <v>3.9285964912280669</v>
      </c>
    </row>
    <row r="429" spans="1:19" ht="14.45" customHeight="1" x14ac:dyDescent="0.25">
      <c r="A429" s="105">
        <f>+IF(B429="","",SUBTOTAL(3,B$8:B429))</f>
        <v>422</v>
      </c>
      <c r="B429" s="106" t="str">
        <f>'Detailed Report'!O425</f>
        <v>Fuddruckers - Concord Plaza Mall</v>
      </c>
      <c r="C429" s="107">
        <f>TRUNC('Detailed Report'!Q425,0)</f>
        <v>46037</v>
      </c>
      <c r="D429" s="108">
        <f>'Detailed Report'!P425</f>
        <v>3401795863</v>
      </c>
      <c r="E429" s="106" t="str">
        <f>'Detailed Report'!S425</f>
        <v>Successful</v>
      </c>
      <c r="F429" s="109">
        <f>IF(E429=$E$6,('Detailed Report'!Y425),IF(E429=$E$5,(0),0))</f>
        <v>453.99</v>
      </c>
      <c r="G429" s="106">
        <f>IF(E429=$E$6,('Detailed Report'!AQ425),IF(E429=$E$5,('Detailed Report'!AW425),0))</f>
        <v>398.23683999999997</v>
      </c>
      <c r="H429" s="106">
        <f>'Detailed Report'!AS425</f>
        <v>99.559209999999993</v>
      </c>
      <c r="I429" s="106">
        <f>'Detailed Report'!AT425</f>
        <v>13.9382894</v>
      </c>
      <c r="J429" s="106">
        <f>'Detailed Report'!AO425</f>
        <v>7.9448249999999998</v>
      </c>
      <c r="K429" s="106">
        <f>'Detailed Report'!AP425</f>
        <v>1.1122755</v>
      </c>
      <c r="L429" s="106">
        <f>'Detailed Report'!AU425/1.14</f>
        <v>0</v>
      </c>
      <c r="M429" s="106">
        <f>'Detailed Report'!AU425-L429</f>
        <v>0</v>
      </c>
      <c r="N429" s="110">
        <f>'Detailed Report'!AW425</f>
        <v>331.435</v>
      </c>
      <c r="O429" s="111">
        <f t="shared" si="52"/>
        <v>66.80183999999997</v>
      </c>
      <c r="P429" s="110">
        <f>'Detailed Report'!AM425</f>
        <v>0</v>
      </c>
      <c r="Q429" s="110">
        <f>'Detailed Report'!AN425</f>
        <v>0</v>
      </c>
      <c r="R429" s="110">
        <f>'Detailed Report'!AU425/1.14</f>
        <v>0</v>
      </c>
      <c r="S429" s="110">
        <f>'Detailed Report'!AU425-'........... - Otlob'!R429</f>
        <v>0</v>
      </c>
    </row>
    <row r="430" spans="1:19" ht="14.45" customHeight="1" x14ac:dyDescent="0.25">
      <c r="A430" s="105">
        <f>+IF(B430="","",SUBTOTAL(3,B$8:B430))</f>
        <v>423</v>
      </c>
      <c r="B430" s="106" t="str">
        <f>'Detailed Report'!O426</f>
        <v>Fuddruckers - Concord Plaza Mall</v>
      </c>
      <c r="C430" s="107">
        <f>TRUNC('Detailed Report'!Q426,0)</f>
        <v>46037</v>
      </c>
      <c r="D430" s="108">
        <f>'Detailed Report'!P426</f>
        <v>3401796679</v>
      </c>
      <c r="E430" s="106" t="str">
        <f>'Detailed Report'!S426</f>
        <v>Successful</v>
      </c>
      <c r="F430" s="109">
        <f>IF(E430=$E$6,('Detailed Report'!Y426),IF(E430=$E$5,(0),0))</f>
        <v>363.99</v>
      </c>
      <c r="G430" s="106">
        <f>IF(E430=$E$6,('Detailed Report'!AQ426),IF(E430=$E$5,('Detailed Report'!AW426),0))</f>
        <v>319.28946999999999</v>
      </c>
      <c r="H430" s="106">
        <f>'Detailed Report'!AS426</f>
        <v>79.822370000000006</v>
      </c>
      <c r="I430" s="106">
        <f>'Detailed Report'!AT426</f>
        <v>11.175131800000001</v>
      </c>
      <c r="J430" s="106">
        <f>'Detailed Report'!AO426</f>
        <v>6.3698249999999996</v>
      </c>
      <c r="K430" s="106">
        <f>'Detailed Report'!AP426</f>
        <v>0.89177550000000005</v>
      </c>
      <c r="L430" s="106">
        <f>'Detailed Report'!AU426/1.14</f>
        <v>28.061403508771932</v>
      </c>
      <c r="M430" s="106">
        <f>'Detailed Report'!AU426-L430</f>
        <v>3.9285964912280669</v>
      </c>
      <c r="N430" s="110">
        <f>'Detailed Report'!AW426</f>
        <v>233.74100000000001</v>
      </c>
      <c r="O430" s="111">
        <f t="shared" si="52"/>
        <v>85.54846999999998</v>
      </c>
      <c r="P430" s="110">
        <f>'Detailed Report'!AM426</f>
        <v>0</v>
      </c>
      <c r="Q430" s="110">
        <f>'Detailed Report'!AN426</f>
        <v>0</v>
      </c>
      <c r="R430" s="110">
        <f>'Detailed Report'!AU426/1.14</f>
        <v>28.061403508771932</v>
      </c>
      <c r="S430" s="110">
        <f>'Detailed Report'!AU426-'........... - Otlob'!R430</f>
        <v>3.9285964912280669</v>
      </c>
    </row>
    <row r="431" spans="1:19" ht="14.45" customHeight="1" x14ac:dyDescent="0.25">
      <c r="A431" s="105">
        <f>+IF(B431="","",SUBTOTAL(3,B$8:B431))</f>
        <v>424</v>
      </c>
      <c r="B431" s="106" t="str">
        <f>'Detailed Report'!O427</f>
        <v>Fuddruckers - Concord Plaza Mall</v>
      </c>
      <c r="C431" s="107">
        <f>TRUNC('Detailed Report'!Q427,0)</f>
        <v>46037</v>
      </c>
      <c r="D431" s="108">
        <f>'Detailed Report'!P427</f>
        <v>3401810741</v>
      </c>
      <c r="E431" s="106" t="str">
        <f>'Detailed Report'!S427</f>
        <v>Successful</v>
      </c>
      <c r="F431" s="109">
        <f>IF(E431=$E$6,('Detailed Report'!Y427),IF(E431=$E$5,(0),0))</f>
        <v>403.67</v>
      </c>
      <c r="G431" s="106">
        <f>IF(E431=$E$6,('Detailed Report'!AQ427),IF(E431=$E$5,('Detailed Report'!AW427),0))</f>
        <v>354.09649000000002</v>
      </c>
      <c r="H431" s="106">
        <f>'Detailed Report'!AS427</f>
        <v>88.524119999999996</v>
      </c>
      <c r="I431" s="106">
        <f>'Detailed Report'!AT427</f>
        <v>12.3933768</v>
      </c>
      <c r="J431" s="106">
        <f>'Detailed Report'!AO427</f>
        <v>7.0642250000000004</v>
      </c>
      <c r="K431" s="106">
        <f>'Detailed Report'!AP427</f>
        <v>0.98899150000000002</v>
      </c>
      <c r="L431" s="106">
        <f>'Detailed Report'!AU427/1.14</f>
        <v>27.184210526315791</v>
      </c>
      <c r="M431" s="106">
        <f>'Detailed Report'!AU427-L431</f>
        <v>3.8057894736842073</v>
      </c>
      <c r="N431" s="110">
        <f>'Detailed Report'!AW427</f>
        <v>263.709</v>
      </c>
      <c r="O431" s="111">
        <f t="shared" si="52"/>
        <v>90.387490000000014</v>
      </c>
      <c r="P431" s="110">
        <f>'Detailed Report'!AM427</f>
        <v>0</v>
      </c>
      <c r="Q431" s="110">
        <f>'Detailed Report'!AN427</f>
        <v>0</v>
      </c>
      <c r="R431" s="110">
        <f>'Detailed Report'!AU427/1.14</f>
        <v>27.184210526315791</v>
      </c>
      <c r="S431" s="110">
        <f>'Detailed Report'!AU427-'........... - Otlob'!R431</f>
        <v>3.8057894736842073</v>
      </c>
    </row>
    <row r="432" spans="1:19" ht="14.45" customHeight="1" x14ac:dyDescent="0.25">
      <c r="A432" s="105">
        <f>+IF(B432="","",SUBTOTAL(3,B$8:B432))</f>
        <v>425</v>
      </c>
      <c r="B432" s="106" t="str">
        <f>'Detailed Report'!O428</f>
        <v>Fuddruckers - Concord Plaza Mall</v>
      </c>
      <c r="C432" s="107">
        <f>TRUNC('Detailed Report'!Q428,0)</f>
        <v>46037</v>
      </c>
      <c r="D432" s="108">
        <f>'Detailed Report'!P428</f>
        <v>3401885232</v>
      </c>
      <c r="E432" s="106" t="str">
        <f>'Detailed Report'!S428</f>
        <v>Successful</v>
      </c>
      <c r="F432" s="109">
        <f>IF(E432=$E$6,('Detailed Report'!Y428),IF(E432=$E$5,(0),0))</f>
        <v>355.99</v>
      </c>
      <c r="G432" s="106">
        <f>IF(E432=$E$6,('Detailed Report'!AQ428),IF(E432=$E$5,('Detailed Report'!AW428),0))</f>
        <v>312.27193</v>
      </c>
      <c r="H432" s="106">
        <f>'Detailed Report'!AS428</f>
        <v>78.067980000000006</v>
      </c>
      <c r="I432" s="106">
        <f>'Detailed Report'!AT428</f>
        <v>10.929517199999999</v>
      </c>
      <c r="J432" s="106">
        <f>'Detailed Report'!AO428</f>
        <v>6.2298249999999999</v>
      </c>
      <c r="K432" s="106">
        <f>'Detailed Report'!AP428</f>
        <v>0.87217549999999999</v>
      </c>
      <c r="L432" s="106">
        <f>'Detailed Report'!AU428/1.14</f>
        <v>0</v>
      </c>
      <c r="M432" s="106">
        <f>'Detailed Report'!AU428-L432</f>
        <v>0</v>
      </c>
      <c r="N432" s="110">
        <f>'Detailed Report'!AW428</f>
        <v>259.89100000000002</v>
      </c>
      <c r="O432" s="111">
        <f t="shared" si="52"/>
        <v>52.380929999999978</v>
      </c>
      <c r="P432" s="110">
        <f>'Detailed Report'!AM428</f>
        <v>0</v>
      </c>
      <c r="Q432" s="110">
        <f>'Detailed Report'!AN428</f>
        <v>0</v>
      </c>
      <c r="R432" s="110">
        <f>'Detailed Report'!AU428/1.14</f>
        <v>0</v>
      </c>
      <c r="S432" s="110">
        <f>'Detailed Report'!AU428-'........... - Otlob'!R432</f>
        <v>0</v>
      </c>
    </row>
    <row r="433" spans="1:19" ht="14.45" customHeight="1" x14ac:dyDescent="0.25">
      <c r="A433" s="105">
        <f>+IF(B433="","",SUBTOTAL(3,B$8:B433))</f>
        <v>426</v>
      </c>
      <c r="B433" s="106" t="str">
        <f>'Detailed Report'!O429</f>
        <v>Fuddruckers - Concord Plaza Mall</v>
      </c>
      <c r="C433" s="107">
        <f>TRUNC('Detailed Report'!Q429,0)</f>
        <v>46038</v>
      </c>
      <c r="D433" s="108">
        <f>'Detailed Report'!P429</f>
        <v>3402545695</v>
      </c>
      <c r="E433" s="106" t="str">
        <f>'Detailed Report'!S429</f>
        <v>Successful</v>
      </c>
      <c r="F433" s="109">
        <f>IF(E433=$E$6,('Detailed Report'!Y429),IF(E433=$E$5,(0),0))</f>
        <v>419.99</v>
      </c>
      <c r="G433" s="106">
        <f>IF(E433=$E$6,('Detailed Report'!AQ429),IF(E433=$E$5,('Detailed Report'!AW429),0))</f>
        <v>368.41228000000001</v>
      </c>
      <c r="H433" s="106">
        <f>'Detailed Report'!AS429</f>
        <v>92.103070000000002</v>
      </c>
      <c r="I433" s="106">
        <f>'Detailed Report'!AT429</f>
        <v>12.894429799999999</v>
      </c>
      <c r="J433" s="106">
        <f>'Detailed Report'!AO429</f>
        <v>7.3498250000000001</v>
      </c>
      <c r="K433" s="106">
        <f>'Detailed Report'!AP429</f>
        <v>1.0289755</v>
      </c>
      <c r="L433" s="106">
        <f>'Detailed Report'!AU429/1.14</f>
        <v>29.815789473684216</v>
      </c>
      <c r="M433" s="106">
        <f>'Detailed Report'!AU429-L433</f>
        <v>4.174210526315786</v>
      </c>
      <c r="N433" s="110">
        <f>'Detailed Report'!AW429</f>
        <v>272.62400000000002</v>
      </c>
      <c r="O433" s="111">
        <f t="shared" si="52"/>
        <v>95.788279999999986</v>
      </c>
      <c r="P433" s="110">
        <f>'Detailed Report'!AM429</f>
        <v>0</v>
      </c>
      <c r="Q433" s="110">
        <f>'Detailed Report'!AN429</f>
        <v>0</v>
      </c>
      <c r="R433" s="110">
        <f>'Detailed Report'!AU429/1.14</f>
        <v>29.815789473684216</v>
      </c>
      <c r="S433" s="110">
        <f>'Detailed Report'!AU429-'........... - Otlob'!R433</f>
        <v>4.174210526315786</v>
      </c>
    </row>
    <row r="434" spans="1:19" ht="14.45" customHeight="1" x14ac:dyDescent="0.25">
      <c r="A434" s="105">
        <f>+IF(B434="","",SUBTOTAL(3,B$8:B434))</f>
        <v>427</v>
      </c>
      <c r="B434" s="106" t="str">
        <f>'Detailed Report'!O430</f>
        <v>Fuddruckers - Concord Plaza Mall</v>
      </c>
      <c r="C434" s="107">
        <f>TRUNC('Detailed Report'!Q430,0)</f>
        <v>46038</v>
      </c>
      <c r="D434" s="108">
        <f>'Detailed Report'!P430</f>
        <v>3402626610</v>
      </c>
      <c r="E434" s="106" t="str">
        <f>'Detailed Report'!S430</f>
        <v>Successful</v>
      </c>
      <c r="F434" s="109">
        <f>IF(E434=$E$6,('Detailed Report'!Y430),IF(E434=$E$5,(0),0))</f>
        <v>805.97</v>
      </c>
      <c r="G434" s="106">
        <f>IF(E434=$E$6,('Detailed Report'!AQ430),IF(E434=$E$5,('Detailed Report'!AW430),0))</f>
        <v>706.99122999999997</v>
      </c>
      <c r="H434" s="106">
        <f>'Detailed Report'!AS430</f>
        <v>176.74780999999999</v>
      </c>
      <c r="I434" s="106">
        <f>'Detailed Report'!AT430</f>
        <v>24.744693399999999</v>
      </c>
      <c r="J434" s="106">
        <f>'Detailed Report'!AO430</f>
        <v>0</v>
      </c>
      <c r="K434" s="106">
        <f>'Detailed Report'!AP430</f>
        <v>0</v>
      </c>
      <c r="L434" s="106">
        <f>'Detailed Report'!AU430/1.14</f>
        <v>0</v>
      </c>
      <c r="M434" s="106">
        <f>'Detailed Report'!AU430-L434</f>
        <v>0</v>
      </c>
      <c r="N434" s="110">
        <f>'Detailed Report'!AW430</f>
        <v>570.27700000000004</v>
      </c>
      <c r="O434" s="111">
        <f t="shared" si="52"/>
        <v>136.71422999999993</v>
      </c>
      <c r="P434" s="110">
        <f>'Detailed Report'!AM430</f>
        <v>30</v>
      </c>
      <c r="Q434" s="110">
        <f>'Detailed Report'!AN430</f>
        <v>4.2</v>
      </c>
      <c r="R434" s="110">
        <f>'Detailed Report'!AU430/1.14</f>
        <v>0</v>
      </c>
      <c r="S434" s="110">
        <f>'Detailed Report'!AU430-'........... - Otlob'!R434</f>
        <v>0</v>
      </c>
    </row>
    <row r="435" spans="1:19" ht="14.45" customHeight="1" x14ac:dyDescent="0.25">
      <c r="A435" s="105">
        <f>+IF(B435="","",SUBTOTAL(3,B$8:B435))</f>
        <v>428</v>
      </c>
      <c r="B435" s="106" t="str">
        <f>'Detailed Report'!O431</f>
        <v>Fuddruckers - Concord Plaza Mall</v>
      </c>
      <c r="C435" s="107">
        <f>TRUNC('Detailed Report'!Q431,0)</f>
        <v>46038</v>
      </c>
      <c r="D435" s="108">
        <f>'Detailed Report'!P431</f>
        <v>3402643243</v>
      </c>
      <c r="E435" s="106" t="str">
        <f>'Detailed Report'!S431</f>
        <v>Successful</v>
      </c>
      <c r="F435" s="109">
        <f>IF(E435=$E$6,('Detailed Report'!Y431),IF(E435=$E$5,(0),0))</f>
        <v>2030.63</v>
      </c>
      <c r="G435" s="106">
        <f>IF(E435=$E$6,('Detailed Report'!AQ431),IF(E435=$E$5,('Detailed Report'!AW431),0))</f>
        <v>1781.2543900000001</v>
      </c>
      <c r="H435" s="106">
        <f>'Detailed Report'!AS431</f>
        <v>445.31360000000001</v>
      </c>
      <c r="I435" s="106">
        <f>'Detailed Report'!AT431</f>
        <v>62.343904000000002</v>
      </c>
      <c r="J435" s="106">
        <f>'Detailed Report'!AO431</f>
        <v>35.536026749999998</v>
      </c>
      <c r="K435" s="106">
        <f>'Detailed Report'!AP431</f>
        <v>4.9750437449999998</v>
      </c>
      <c r="L435" s="106">
        <f>'Detailed Report'!AU431/1.14</f>
        <v>0</v>
      </c>
      <c r="M435" s="106">
        <f>'Detailed Report'!AU431-L435</f>
        <v>0</v>
      </c>
      <c r="N435" s="110">
        <f>'Detailed Report'!AW431</f>
        <v>1482.461</v>
      </c>
      <c r="O435" s="111">
        <f t="shared" si="52"/>
        <v>298.79339000000004</v>
      </c>
      <c r="P435" s="110">
        <f>'Detailed Report'!AM431</f>
        <v>0</v>
      </c>
      <c r="Q435" s="110">
        <f>'Detailed Report'!AN431</f>
        <v>0</v>
      </c>
      <c r="R435" s="110">
        <f>'Detailed Report'!AU431/1.14</f>
        <v>0</v>
      </c>
      <c r="S435" s="110">
        <f>'Detailed Report'!AU431-'........... - Otlob'!R435</f>
        <v>0</v>
      </c>
    </row>
    <row r="436" spans="1:19" ht="14.45" customHeight="1" x14ac:dyDescent="0.25">
      <c r="A436" s="105">
        <f>+IF(B436="","",SUBTOTAL(3,B$8:B436))</f>
        <v>429</v>
      </c>
      <c r="B436" s="106" t="str">
        <f>'Detailed Report'!O432</f>
        <v>Fuddruckers - Concord Plaza Mall</v>
      </c>
      <c r="C436" s="107">
        <f>TRUNC('Detailed Report'!Q432,0)</f>
        <v>46038</v>
      </c>
      <c r="D436" s="108">
        <f>'Detailed Report'!P432</f>
        <v>3402785684</v>
      </c>
      <c r="E436" s="106" t="str">
        <f>'Detailed Report'!S432</f>
        <v>Successful</v>
      </c>
      <c r="F436" s="109">
        <f>IF(E436=$E$6,('Detailed Report'!Y432),IF(E436=$E$5,(0),0))</f>
        <v>353.99</v>
      </c>
      <c r="G436" s="106">
        <f>IF(E436=$E$6,('Detailed Report'!AQ432),IF(E436=$E$5,('Detailed Report'!AW432),0))</f>
        <v>310.51754</v>
      </c>
      <c r="H436" s="106">
        <f>'Detailed Report'!AS432</f>
        <v>77.629390000000001</v>
      </c>
      <c r="I436" s="106">
        <f>'Detailed Report'!AT432</f>
        <v>10.8681146</v>
      </c>
      <c r="J436" s="106">
        <f>'Detailed Report'!AO432</f>
        <v>6.1948249999999998</v>
      </c>
      <c r="K436" s="106">
        <f>'Detailed Report'!AP432</f>
        <v>0.86727549999999998</v>
      </c>
      <c r="L436" s="106">
        <f>'Detailed Report'!AU432/1.14</f>
        <v>0</v>
      </c>
      <c r="M436" s="106">
        <f>'Detailed Report'!AU432-L436</f>
        <v>0</v>
      </c>
      <c r="N436" s="110">
        <f>'Detailed Report'!AW432</f>
        <v>258.43</v>
      </c>
      <c r="O436" s="111">
        <f t="shared" si="52"/>
        <v>52.08753999999999</v>
      </c>
      <c r="P436" s="110">
        <f>'Detailed Report'!AM432</f>
        <v>0</v>
      </c>
      <c r="Q436" s="110">
        <f>'Detailed Report'!AN432</f>
        <v>0</v>
      </c>
      <c r="R436" s="110">
        <f>'Detailed Report'!AU432/1.14</f>
        <v>0</v>
      </c>
      <c r="S436" s="110">
        <f>'Detailed Report'!AU432-'........... - Otlob'!R436</f>
        <v>0</v>
      </c>
    </row>
    <row r="437" spans="1:19" ht="14.45" customHeight="1" x14ac:dyDescent="0.25">
      <c r="A437" s="105">
        <f>+IF(B437="","",SUBTOTAL(3,B$8:B437))</f>
        <v>430</v>
      </c>
      <c r="B437" s="106" t="str">
        <f>'Detailed Report'!O433</f>
        <v>Fuddruckers - Concord Plaza Mall</v>
      </c>
      <c r="C437" s="107">
        <f>TRUNC('Detailed Report'!Q433,0)</f>
        <v>46038</v>
      </c>
      <c r="D437" s="108">
        <f>'Detailed Report'!P433</f>
        <v>3402793158</v>
      </c>
      <c r="E437" s="106" t="str">
        <f>'Detailed Report'!S433</f>
        <v>Successful</v>
      </c>
      <c r="F437" s="109">
        <f>IF(E437=$E$6,('Detailed Report'!Y433),IF(E437=$E$5,(0),0))</f>
        <v>1073.97</v>
      </c>
      <c r="G437" s="106">
        <f>IF(E437=$E$6,('Detailed Report'!AQ433),IF(E437=$E$5,('Detailed Report'!AW433),0))</f>
        <v>942.07894999999996</v>
      </c>
      <c r="H437" s="106">
        <f>'Detailed Report'!AS433</f>
        <v>235.51974000000001</v>
      </c>
      <c r="I437" s="106">
        <f>'Detailed Report'!AT433</f>
        <v>32.9727636</v>
      </c>
      <c r="J437" s="106">
        <f>'Detailed Report'!AO433</f>
        <v>18.794474999999998</v>
      </c>
      <c r="K437" s="106">
        <f>'Detailed Report'!AP433</f>
        <v>2.6312264999999999</v>
      </c>
      <c r="L437" s="106">
        <f>'Detailed Report'!AU433/1.14</f>
        <v>31.570175438596497</v>
      </c>
      <c r="M437" s="106">
        <f>'Detailed Report'!AU433-L437</f>
        <v>4.4198245614035052</v>
      </c>
      <c r="N437" s="110">
        <f>'Detailed Report'!AW433</f>
        <v>748.06200000000001</v>
      </c>
      <c r="O437" s="111">
        <f t="shared" si="52"/>
        <v>194.01694999999995</v>
      </c>
      <c r="P437" s="110">
        <f>'Detailed Report'!AM433</f>
        <v>0</v>
      </c>
      <c r="Q437" s="110">
        <f>'Detailed Report'!AN433</f>
        <v>0</v>
      </c>
      <c r="R437" s="110">
        <f>'Detailed Report'!AU433/1.14</f>
        <v>31.570175438596497</v>
      </c>
      <c r="S437" s="110">
        <f>'Detailed Report'!AU433-'........... - Otlob'!R437</f>
        <v>4.4198245614035052</v>
      </c>
    </row>
    <row r="438" spans="1:19" ht="14.45" customHeight="1" x14ac:dyDescent="0.25">
      <c r="A438" s="105">
        <f>+IF(B438="","",SUBTOTAL(3,B$8:B438))</f>
        <v>431</v>
      </c>
      <c r="B438" s="106" t="str">
        <f>'Detailed Report'!O434</f>
        <v>Fuddruckers - New Maadi</v>
      </c>
      <c r="C438" s="107">
        <f>TRUNC('Detailed Report'!Q434,0)</f>
        <v>46038</v>
      </c>
      <c r="D438" s="108">
        <f>'Detailed Report'!P434</f>
        <v>3402811352</v>
      </c>
      <c r="E438" s="106" t="str">
        <f>'Detailed Report'!S434</f>
        <v>Successful</v>
      </c>
      <c r="F438" s="109">
        <f>IF(E438=$E$6,('Detailed Report'!Y434),IF(E438=$E$5,(0),0))</f>
        <v>266.99</v>
      </c>
      <c r="G438" s="106">
        <f>IF(E438=$E$6,('Detailed Report'!AQ434),IF(E438=$E$5,('Detailed Report'!AW434),0))</f>
        <v>234.20175</v>
      </c>
      <c r="H438" s="106">
        <f>'Detailed Report'!AS434</f>
        <v>58.550440000000002</v>
      </c>
      <c r="I438" s="106">
        <f>'Detailed Report'!AT434</f>
        <v>8.1970615999999996</v>
      </c>
      <c r="J438" s="106">
        <f>'Detailed Report'!AO434</f>
        <v>4.6723249999999998</v>
      </c>
      <c r="K438" s="106">
        <f>'Detailed Report'!AP434</f>
        <v>0.65412550000000003</v>
      </c>
      <c r="L438" s="106">
        <f>'Detailed Report'!AU434/1.14</f>
        <v>0</v>
      </c>
      <c r="M438" s="106">
        <f>'Detailed Report'!AU434-L438</f>
        <v>0</v>
      </c>
      <c r="N438" s="110">
        <f>'Detailed Report'!AW434</f>
        <v>194.916</v>
      </c>
      <c r="O438" s="111">
        <f t="shared" si="52"/>
        <v>39.285750000000007</v>
      </c>
      <c r="P438" s="110">
        <f>'Detailed Report'!AM434</f>
        <v>0</v>
      </c>
      <c r="Q438" s="110">
        <f>'Detailed Report'!AN434</f>
        <v>0</v>
      </c>
      <c r="R438" s="110">
        <f>'Detailed Report'!AU434/1.14</f>
        <v>0</v>
      </c>
      <c r="S438" s="110">
        <f>'Detailed Report'!AU434-'........... - Otlob'!R438</f>
        <v>0</v>
      </c>
    </row>
    <row r="439" spans="1:19" ht="14.45" customHeight="1" x14ac:dyDescent="0.25">
      <c r="A439" s="105">
        <f>+IF(B439="","",SUBTOTAL(3,B$8:B439))</f>
        <v>432</v>
      </c>
      <c r="B439" s="106" t="str">
        <f>'Detailed Report'!O435</f>
        <v>Fuddruckers - Concord Plaza Mall</v>
      </c>
      <c r="C439" s="107">
        <f>TRUNC('Detailed Report'!Q435,0)</f>
        <v>46038</v>
      </c>
      <c r="D439" s="108">
        <f>'Detailed Report'!P435</f>
        <v>3402821498</v>
      </c>
      <c r="E439" s="106" t="str">
        <f>'Detailed Report'!S435</f>
        <v>Successful</v>
      </c>
      <c r="F439" s="109">
        <f>IF(E439=$E$6,('Detailed Report'!Y435),IF(E439=$E$5,(0),0))</f>
        <v>475.98</v>
      </c>
      <c r="G439" s="106">
        <f>IF(E439=$E$6,('Detailed Report'!AQ435),IF(E439=$E$5,('Detailed Report'!AW435),0))</f>
        <v>417.52632</v>
      </c>
      <c r="H439" s="106">
        <f>'Detailed Report'!AS435</f>
        <v>104.38158</v>
      </c>
      <c r="I439" s="106">
        <f>'Detailed Report'!AT435</f>
        <v>14.613421199999999</v>
      </c>
      <c r="J439" s="106">
        <f>'Detailed Report'!AO435</f>
        <v>0</v>
      </c>
      <c r="K439" s="106">
        <f>'Detailed Report'!AP435</f>
        <v>0</v>
      </c>
      <c r="L439" s="106">
        <f>'Detailed Report'!AU435/1.14</f>
        <v>28.061403508771932</v>
      </c>
      <c r="M439" s="106">
        <f>'Detailed Report'!AU435-L439</f>
        <v>3.9285964912280669</v>
      </c>
      <c r="N439" s="110">
        <f>'Detailed Report'!AW435</f>
        <v>324.995</v>
      </c>
      <c r="O439" s="111">
        <f t="shared" si="52"/>
        <v>92.531319999999994</v>
      </c>
      <c r="P439" s="110">
        <f>'Detailed Report'!AM435</f>
        <v>0</v>
      </c>
      <c r="Q439" s="110">
        <f>'Detailed Report'!AN435</f>
        <v>0</v>
      </c>
      <c r="R439" s="110">
        <f>'Detailed Report'!AU435/1.14</f>
        <v>28.061403508771932</v>
      </c>
      <c r="S439" s="110">
        <f>'Detailed Report'!AU435-'........... - Otlob'!R439</f>
        <v>3.9285964912280669</v>
      </c>
    </row>
    <row r="440" spans="1:19" ht="14.45" customHeight="1" x14ac:dyDescent="0.25">
      <c r="A440" s="105">
        <f>+IF(B440="","",SUBTOTAL(3,B$8:B440))</f>
        <v>433</v>
      </c>
      <c r="B440" s="106" t="str">
        <f>'Detailed Report'!O436</f>
        <v>Fuddruckers - New Maadi</v>
      </c>
      <c r="C440" s="107">
        <f>TRUNC('Detailed Report'!Q436,0)</f>
        <v>46038</v>
      </c>
      <c r="D440" s="108">
        <f>'Detailed Report'!P436</f>
        <v>3402839203</v>
      </c>
      <c r="E440" s="106" t="str">
        <f>'Detailed Report'!S436</f>
        <v>Successful</v>
      </c>
      <c r="F440" s="109">
        <f>IF(E440=$E$6,('Detailed Report'!Y436),IF(E440=$E$5,(0),0))</f>
        <v>1104.47</v>
      </c>
      <c r="G440" s="106">
        <f>IF(E440=$E$6,('Detailed Report'!AQ436),IF(E440=$E$5,('Detailed Report'!AW436),0))</f>
        <v>968.83333000000005</v>
      </c>
      <c r="H440" s="106">
        <f>'Detailed Report'!AS436</f>
        <v>242.20832999999999</v>
      </c>
      <c r="I440" s="106">
        <f>'Detailed Report'!AT436</f>
        <v>33.909166200000001</v>
      </c>
      <c r="J440" s="106">
        <f>'Detailed Report'!AO436</f>
        <v>19.328225</v>
      </c>
      <c r="K440" s="106">
        <f>'Detailed Report'!AP436</f>
        <v>2.7059514999999998</v>
      </c>
      <c r="L440" s="106">
        <f>'Detailed Report'!AU436/1.14</f>
        <v>0</v>
      </c>
      <c r="M440" s="106">
        <f>'Detailed Report'!AU436-L440</f>
        <v>0</v>
      </c>
      <c r="N440" s="110">
        <f>'Detailed Report'!AW436</f>
        <v>806.31799999999998</v>
      </c>
      <c r="O440" s="111">
        <f t="shared" si="52"/>
        <v>162.51533000000006</v>
      </c>
      <c r="P440" s="110">
        <f>'Detailed Report'!AM436</f>
        <v>0</v>
      </c>
      <c r="Q440" s="110">
        <f>'Detailed Report'!AN436</f>
        <v>0</v>
      </c>
      <c r="R440" s="110">
        <f>'Detailed Report'!AU436/1.14</f>
        <v>0</v>
      </c>
      <c r="S440" s="110">
        <f>'Detailed Report'!AU436-'........... - Otlob'!R440</f>
        <v>0</v>
      </c>
    </row>
    <row r="441" spans="1:19" ht="14.45" customHeight="1" x14ac:dyDescent="0.25">
      <c r="A441" s="105">
        <f>+IF(B441="","",SUBTOTAL(3,B$8:B441))</f>
        <v>434</v>
      </c>
      <c r="B441" s="106" t="str">
        <f>'Detailed Report'!O437</f>
        <v>Fuddruckers - New Maadi</v>
      </c>
      <c r="C441" s="107">
        <f>TRUNC('Detailed Report'!Q437,0)</f>
        <v>46038</v>
      </c>
      <c r="D441" s="108">
        <f>'Detailed Report'!P437</f>
        <v>3402853464</v>
      </c>
      <c r="E441" s="106" t="str">
        <f>'Detailed Report'!S437</f>
        <v>Successful</v>
      </c>
      <c r="F441" s="109">
        <f>IF(E441=$E$6,('Detailed Report'!Y437),IF(E441=$E$5,(0),0))</f>
        <v>804.82</v>
      </c>
      <c r="G441" s="106">
        <f>IF(E441=$E$6,('Detailed Report'!AQ437),IF(E441=$E$5,('Detailed Report'!AW437),0))</f>
        <v>705.98245999999995</v>
      </c>
      <c r="H441" s="106">
        <f>'Detailed Report'!AS437</f>
        <v>176.49562</v>
      </c>
      <c r="I441" s="106">
        <f>'Detailed Report'!AT437</f>
        <v>24.709386800000001</v>
      </c>
      <c r="J441" s="106">
        <f>'Detailed Report'!AO437</f>
        <v>14.084350000000001</v>
      </c>
      <c r="K441" s="106">
        <f>'Detailed Report'!AP437</f>
        <v>1.9718089999999999</v>
      </c>
      <c r="L441" s="106">
        <f>'Detailed Report'!AU437/1.14</f>
        <v>25.42982456140351</v>
      </c>
      <c r="M441" s="106">
        <f>'Detailed Report'!AU437-L441</f>
        <v>3.5601754385964881</v>
      </c>
      <c r="N441" s="110">
        <f>'Detailed Report'!AW437</f>
        <v>558.56899999999996</v>
      </c>
      <c r="O441" s="111">
        <f t="shared" si="52"/>
        <v>147.41345999999999</v>
      </c>
      <c r="P441" s="110">
        <f>'Detailed Report'!AM437</f>
        <v>0</v>
      </c>
      <c r="Q441" s="110">
        <f>'Detailed Report'!AN437</f>
        <v>0</v>
      </c>
      <c r="R441" s="110">
        <f>'Detailed Report'!AU437/1.14</f>
        <v>25.42982456140351</v>
      </c>
      <c r="S441" s="110">
        <f>'Detailed Report'!AU437-'........... - Otlob'!R441</f>
        <v>3.5601754385964881</v>
      </c>
    </row>
    <row r="442" spans="1:19" ht="14.45" customHeight="1" x14ac:dyDescent="0.25">
      <c r="A442" s="105">
        <f>+IF(B442="","",SUBTOTAL(3,B$8:B442))</f>
        <v>435</v>
      </c>
      <c r="B442" s="106" t="str">
        <f>'Detailed Report'!O438</f>
        <v>Fuddruckers - Concord Plaza Mall</v>
      </c>
      <c r="C442" s="107">
        <f>TRUNC('Detailed Report'!Q438,0)</f>
        <v>46038</v>
      </c>
      <c r="D442" s="108">
        <f>'Detailed Report'!P438</f>
        <v>3402872175</v>
      </c>
      <c r="E442" s="106" t="str">
        <f>'Detailed Report'!S438</f>
        <v>Successful</v>
      </c>
      <c r="F442" s="109">
        <f>IF(E442=$E$6,('Detailed Report'!Y438),IF(E442=$E$5,(0),0))</f>
        <v>391.66</v>
      </c>
      <c r="G442" s="106">
        <f>IF(E442=$E$6,('Detailed Report'!AQ438),IF(E442=$E$5,('Detailed Report'!AW438),0))</f>
        <v>343.56139999999999</v>
      </c>
      <c r="H442" s="106">
        <f>'Detailed Report'!AS438</f>
        <v>85.890349999999998</v>
      </c>
      <c r="I442" s="106">
        <f>'Detailed Report'!AT438</f>
        <v>12.024649</v>
      </c>
      <c r="J442" s="106">
        <f>'Detailed Report'!AO438</f>
        <v>0</v>
      </c>
      <c r="K442" s="106">
        <f>'Detailed Report'!AP438</f>
        <v>0</v>
      </c>
      <c r="L442" s="106">
        <f>'Detailed Report'!AU438/1.14</f>
        <v>0</v>
      </c>
      <c r="M442" s="106">
        <f>'Detailed Report'!AU438-L442</f>
        <v>0</v>
      </c>
      <c r="N442" s="110">
        <f>'Detailed Report'!AW438</f>
        <v>293.745</v>
      </c>
      <c r="O442" s="111">
        <f t="shared" si="52"/>
        <v>49.816399999999987</v>
      </c>
      <c r="P442" s="110">
        <f>'Detailed Report'!AM438</f>
        <v>0</v>
      </c>
      <c r="Q442" s="110">
        <f>'Detailed Report'!AN438</f>
        <v>0</v>
      </c>
      <c r="R442" s="110">
        <f>'Detailed Report'!AU438/1.14</f>
        <v>0</v>
      </c>
      <c r="S442" s="110">
        <f>'Detailed Report'!AU438-'........... - Otlob'!R442</f>
        <v>0</v>
      </c>
    </row>
    <row r="443" spans="1:19" ht="14.45" customHeight="1" x14ac:dyDescent="0.25">
      <c r="A443" s="105">
        <f>+IF(B443="","",SUBTOTAL(3,B$8:B443))</f>
        <v>436</v>
      </c>
      <c r="B443" s="106" t="str">
        <f>'Detailed Report'!O439</f>
        <v>Fuddruckers - New Maadi</v>
      </c>
      <c r="C443" s="107">
        <f>TRUNC('Detailed Report'!Q439,0)</f>
        <v>46038</v>
      </c>
      <c r="D443" s="108">
        <f>'Detailed Report'!P439</f>
        <v>3402888623</v>
      </c>
      <c r="E443" s="106" t="str">
        <f>'Detailed Report'!S439</f>
        <v>Successful</v>
      </c>
      <c r="F443" s="109">
        <f>IF(E443=$E$6,('Detailed Report'!Y439),IF(E443=$E$5,(0),0))</f>
        <v>319.99</v>
      </c>
      <c r="G443" s="106">
        <f>IF(E443=$E$6,('Detailed Report'!AQ439),IF(E443=$E$5,('Detailed Report'!AW439),0))</f>
        <v>280.69297999999998</v>
      </c>
      <c r="H443" s="106">
        <f>'Detailed Report'!AS439</f>
        <v>70.173249999999996</v>
      </c>
      <c r="I443" s="106">
        <f>'Detailed Report'!AT439</f>
        <v>9.8242550000000008</v>
      </c>
      <c r="J443" s="106">
        <f>'Detailed Report'!AO439</f>
        <v>5.5998512500000004</v>
      </c>
      <c r="K443" s="106">
        <f>'Detailed Report'!AP439</f>
        <v>0.78397917500000003</v>
      </c>
      <c r="L443" s="106">
        <f>'Detailed Report'!AU439/1.14</f>
        <v>0</v>
      </c>
      <c r="M443" s="106">
        <f>'Detailed Report'!AU439-L443</f>
        <v>0</v>
      </c>
      <c r="N443" s="110">
        <f>'Detailed Report'!AW439</f>
        <v>233.60900000000001</v>
      </c>
      <c r="O443" s="111">
        <f t="shared" si="52"/>
        <v>47.083979999999968</v>
      </c>
      <c r="P443" s="110">
        <f>'Detailed Report'!AM439</f>
        <v>0</v>
      </c>
      <c r="Q443" s="110">
        <f>'Detailed Report'!AN439</f>
        <v>0</v>
      </c>
      <c r="R443" s="110">
        <f>'Detailed Report'!AU439/1.14</f>
        <v>0</v>
      </c>
      <c r="S443" s="110">
        <f>'Detailed Report'!AU439-'........... - Otlob'!R443</f>
        <v>0</v>
      </c>
    </row>
    <row r="444" spans="1:19" ht="14.45" customHeight="1" x14ac:dyDescent="0.25">
      <c r="A444" s="105">
        <f>+IF(B444="","",SUBTOTAL(3,B$8:B444))</f>
        <v>437</v>
      </c>
      <c r="B444" s="106" t="str">
        <f>'Detailed Report'!O440</f>
        <v>Fuddruckers - New Maadi</v>
      </c>
      <c r="C444" s="107">
        <f>TRUNC('Detailed Report'!Q440,0)</f>
        <v>46038</v>
      </c>
      <c r="D444" s="108">
        <f>'Detailed Report'!P440</f>
        <v>3402945319</v>
      </c>
      <c r="E444" s="106" t="str">
        <f>'Detailed Report'!S440</f>
        <v>Successful</v>
      </c>
      <c r="F444" s="109">
        <f>IF(E444=$E$6,('Detailed Report'!Y440),IF(E444=$E$5,(0),0))</f>
        <v>239.99</v>
      </c>
      <c r="G444" s="106">
        <f>IF(E444=$E$6,('Detailed Report'!AQ440),IF(E444=$E$5,('Detailed Report'!AW440),0))</f>
        <v>210.51754</v>
      </c>
      <c r="H444" s="106">
        <f>'Detailed Report'!AS440</f>
        <v>52.629390000000001</v>
      </c>
      <c r="I444" s="106">
        <f>'Detailed Report'!AT440</f>
        <v>7.3681146000000002</v>
      </c>
      <c r="J444" s="106">
        <f>'Detailed Report'!AO440</f>
        <v>4.1998249999999997</v>
      </c>
      <c r="K444" s="106">
        <f>'Detailed Report'!AP440</f>
        <v>0.58797549999999998</v>
      </c>
      <c r="L444" s="106">
        <f>'Detailed Report'!AU440/1.14</f>
        <v>0</v>
      </c>
      <c r="M444" s="106">
        <f>'Detailed Report'!AU440-L444</f>
        <v>0</v>
      </c>
      <c r="N444" s="110">
        <f>'Detailed Report'!AW440</f>
        <v>175.20500000000001</v>
      </c>
      <c r="O444" s="111">
        <f t="shared" si="52"/>
        <v>35.312539999999984</v>
      </c>
      <c r="P444" s="110">
        <f>'Detailed Report'!AM440</f>
        <v>0</v>
      </c>
      <c r="Q444" s="110">
        <f>'Detailed Report'!AN440</f>
        <v>0</v>
      </c>
      <c r="R444" s="110">
        <f>'Detailed Report'!AU440/1.14</f>
        <v>0</v>
      </c>
      <c r="S444" s="110">
        <f>'Detailed Report'!AU440-'........... - Otlob'!R444</f>
        <v>0</v>
      </c>
    </row>
    <row r="445" spans="1:19" ht="14.45" customHeight="1" x14ac:dyDescent="0.25">
      <c r="A445" s="105">
        <f>+IF(B445="","",SUBTOTAL(3,B$8:B445))</f>
        <v>438</v>
      </c>
      <c r="B445" s="106" t="str">
        <f>'Detailed Report'!O441</f>
        <v>Fuddruckers - New Maadi</v>
      </c>
      <c r="C445" s="107">
        <f>TRUNC('Detailed Report'!Q441,0)</f>
        <v>46038</v>
      </c>
      <c r="D445" s="108">
        <f>'Detailed Report'!P441</f>
        <v>3402946521</v>
      </c>
      <c r="E445" s="106" t="str">
        <f>'Detailed Report'!S441</f>
        <v>Successful</v>
      </c>
      <c r="F445" s="109">
        <f>IF(E445=$E$6,('Detailed Report'!Y441),IF(E445=$E$5,(0),0))</f>
        <v>370.99</v>
      </c>
      <c r="G445" s="106">
        <f>IF(E445=$E$6,('Detailed Report'!AQ441),IF(E445=$E$5,('Detailed Report'!AW441),0))</f>
        <v>325.42982000000001</v>
      </c>
      <c r="H445" s="106">
        <f>'Detailed Report'!AS441</f>
        <v>81.357460000000003</v>
      </c>
      <c r="I445" s="106">
        <f>'Detailed Report'!AT441</f>
        <v>11.390044400000001</v>
      </c>
      <c r="J445" s="106">
        <f>'Detailed Report'!AO441</f>
        <v>6.4923250000000001</v>
      </c>
      <c r="K445" s="106">
        <f>'Detailed Report'!AP441</f>
        <v>0.90892550000000005</v>
      </c>
      <c r="L445" s="106">
        <f>'Detailed Report'!AU441/1.14</f>
        <v>26.307017543859651</v>
      </c>
      <c r="M445" s="106">
        <f>'Detailed Report'!AU441-L445</f>
        <v>3.6829824561403477</v>
      </c>
      <c r="N445" s="110">
        <f>'Detailed Report'!AW441</f>
        <v>240.851</v>
      </c>
      <c r="O445" s="111">
        <f t="shared" si="52"/>
        <v>84.578820000000007</v>
      </c>
      <c r="P445" s="110">
        <f>'Detailed Report'!AM441</f>
        <v>0</v>
      </c>
      <c r="Q445" s="110">
        <f>'Detailed Report'!AN441</f>
        <v>0</v>
      </c>
      <c r="R445" s="110">
        <f>'Detailed Report'!AU441/1.14</f>
        <v>26.307017543859651</v>
      </c>
      <c r="S445" s="110">
        <f>'Detailed Report'!AU441-'........... - Otlob'!R445</f>
        <v>3.6829824561403477</v>
      </c>
    </row>
    <row r="446" spans="1:19" ht="14.45" customHeight="1" x14ac:dyDescent="0.25">
      <c r="A446" s="105">
        <f>+IF(B446="","",SUBTOTAL(3,B$8:B446))</f>
        <v>439</v>
      </c>
      <c r="B446" s="106" t="str">
        <f>'Detailed Report'!O442</f>
        <v>Fuddruckers - Concord Plaza Mall</v>
      </c>
      <c r="C446" s="107">
        <f>TRUNC('Detailed Report'!Q442,0)</f>
        <v>46038</v>
      </c>
      <c r="D446" s="108">
        <f>'Detailed Report'!P442</f>
        <v>3402947998</v>
      </c>
      <c r="E446" s="106" t="str">
        <f>'Detailed Report'!S442</f>
        <v>Successful</v>
      </c>
      <c r="F446" s="109">
        <f>IF(E446=$E$6,('Detailed Report'!Y442),IF(E446=$E$5,(0),0))</f>
        <v>543.98</v>
      </c>
      <c r="G446" s="106">
        <f>IF(E446=$E$6,('Detailed Report'!AQ442),IF(E446=$E$5,('Detailed Report'!AW442),0))</f>
        <v>477.17543999999998</v>
      </c>
      <c r="H446" s="106">
        <f>'Detailed Report'!AS442</f>
        <v>119.29386</v>
      </c>
      <c r="I446" s="106">
        <f>'Detailed Report'!AT442</f>
        <v>16.7011404</v>
      </c>
      <c r="J446" s="106">
        <f>'Detailed Report'!AO442</f>
        <v>9.5196500000000004</v>
      </c>
      <c r="K446" s="106">
        <f>'Detailed Report'!AP442</f>
        <v>1.332751</v>
      </c>
      <c r="L446" s="106">
        <f>'Detailed Report'!AU442/1.14</f>
        <v>29.815789473684216</v>
      </c>
      <c r="M446" s="106">
        <f>'Detailed Report'!AU442-L446</f>
        <v>4.174210526315786</v>
      </c>
      <c r="N446" s="110">
        <f>'Detailed Report'!AW442</f>
        <v>363.14299999999997</v>
      </c>
      <c r="O446" s="111">
        <f t="shared" si="52"/>
        <v>114.03244000000001</v>
      </c>
      <c r="P446" s="110">
        <f>'Detailed Report'!AM442</f>
        <v>0</v>
      </c>
      <c r="Q446" s="110">
        <f>'Detailed Report'!AN442</f>
        <v>0</v>
      </c>
      <c r="R446" s="110">
        <f>'Detailed Report'!AU442/1.14</f>
        <v>29.815789473684216</v>
      </c>
      <c r="S446" s="110">
        <f>'Detailed Report'!AU442-'........... - Otlob'!R446</f>
        <v>4.174210526315786</v>
      </c>
    </row>
    <row r="447" spans="1:19" ht="14.45" customHeight="1" x14ac:dyDescent="0.25">
      <c r="A447" s="105">
        <f>+IF(B447="","",SUBTOTAL(3,B$8:B447))</f>
        <v>440</v>
      </c>
      <c r="B447" s="106" t="str">
        <f>'Detailed Report'!O443</f>
        <v>Fuddruckers - Concord Plaza Mall</v>
      </c>
      <c r="C447" s="107">
        <f>TRUNC('Detailed Report'!Q443,0)</f>
        <v>46038</v>
      </c>
      <c r="D447" s="108">
        <f>'Detailed Report'!P443</f>
        <v>3402949969</v>
      </c>
      <c r="E447" s="106" t="str">
        <f>'Detailed Report'!S443</f>
        <v>Successful</v>
      </c>
      <c r="F447" s="109">
        <f>IF(E447=$E$6,('Detailed Report'!Y443),IF(E447=$E$5,(0),0))</f>
        <v>721.98</v>
      </c>
      <c r="G447" s="106">
        <f>IF(E447=$E$6,('Detailed Report'!AQ443),IF(E447=$E$5,('Detailed Report'!AW443),0))</f>
        <v>633.31578999999999</v>
      </c>
      <c r="H447" s="106">
        <f>'Detailed Report'!AS443</f>
        <v>158.32894999999999</v>
      </c>
      <c r="I447" s="106">
        <f>'Detailed Report'!AT443</f>
        <v>22.166053000000002</v>
      </c>
      <c r="J447" s="106">
        <f>'Detailed Report'!AO443</f>
        <v>0</v>
      </c>
      <c r="K447" s="106">
        <f>'Detailed Report'!AP443</f>
        <v>0</v>
      </c>
      <c r="L447" s="106">
        <f>'Detailed Report'!AU443/1.14</f>
        <v>27.184210526315791</v>
      </c>
      <c r="M447" s="106">
        <f>'Detailed Report'!AU443-L447</f>
        <v>3.8057894736842073</v>
      </c>
      <c r="N447" s="110">
        <f>'Detailed Report'!AW443</f>
        <v>510.495</v>
      </c>
      <c r="O447" s="111">
        <f t="shared" si="52"/>
        <v>122.82078999999999</v>
      </c>
      <c r="P447" s="110">
        <f>'Detailed Report'!AM443</f>
        <v>0</v>
      </c>
      <c r="Q447" s="110">
        <f>'Detailed Report'!AN443</f>
        <v>0</v>
      </c>
      <c r="R447" s="110">
        <f>'Detailed Report'!AU443/1.14</f>
        <v>27.184210526315791</v>
      </c>
      <c r="S447" s="110">
        <f>'Detailed Report'!AU443-'........... - Otlob'!R447</f>
        <v>3.8057894736842073</v>
      </c>
    </row>
    <row r="448" spans="1:19" ht="14.45" customHeight="1" x14ac:dyDescent="0.25">
      <c r="A448" s="105">
        <f>+IF(B448="","",SUBTOTAL(3,B$8:B448))</f>
        <v>441</v>
      </c>
      <c r="B448" s="106" t="str">
        <f>'Detailed Report'!O444</f>
        <v>Fuddruckers - Concord Plaza Mall</v>
      </c>
      <c r="C448" s="107">
        <f>TRUNC('Detailed Report'!Q444,0)</f>
        <v>46038</v>
      </c>
      <c r="D448" s="108">
        <f>'Detailed Report'!P444</f>
        <v>3402956200</v>
      </c>
      <c r="E448" s="106" t="str">
        <f>'Detailed Report'!S444</f>
        <v>Successful</v>
      </c>
      <c r="F448" s="109">
        <f>IF(E448=$E$6,('Detailed Report'!Y444),IF(E448=$E$5,(0),0))</f>
        <v>476.82</v>
      </c>
      <c r="G448" s="106">
        <f>IF(E448=$E$6,('Detailed Report'!AQ444),IF(E448=$E$5,('Detailed Report'!AW444),0))</f>
        <v>418.26316000000003</v>
      </c>
      <c r="H448" s="106">
        <f>'Detailed Report'!AS444</f>
        <v>104.56579000000001</v>
      </c>
      <c r="I448" s="106">
        <f>'Detailed Report'!AT444</f>
        <v>14.6392106</v>
      </c>
      <c r="J448" s="106">
        <f>'Detailed Report'!AO444</f>
        <v>0</v>
      </c>
      <c r="K448" s="106">
        <f>'Detailed Report'!AP444</f>
        <v>0</v>
      </c>
      <c r="L448" s="106">
        <f>'Detailed Report'!AU444/1.14</f>
        <v>0</v>
      </c>
      <c r="M448" s="106">
        <f>'Detailed Report'!AU444-L448</f>
        <v>0</v>
      </c>
      <c r="N448" s="110">
        <f>'Detailed Report'!AW444</f>
        <v>357.61500000000001</v>
      </c>
      <c r="O448" s="111">
        <f t="shared" si="52"/>
        <v>60.648160000000018</v>
      </c>
      <c r="P448" s="110">
        <f>'Detailed Report'!AM444</f>
        <v>0</v>
      </c>
      <c r="Q448" s="110">
        <f>'Detailed Report'!AN444</f>
        <v>0</v>
      </c>
      <c r="R448" s="110">
        <f>'Detailed Report'!AU444/1.14</f>
        <v>0</v>
      </c>
      <c r="S448" s="110">
        <f>'Detailed Report'!AU444-'........... - Otlob'!R448</f>
        <v>0</v>
      </c>
    </row>
    <row r="449" spans="1:19" ht="14.45" customHeight="1" x14ac:dyDescent="0.25">
      <c r="A449" s="105">
        <f>+IF(B449="","",SUBTOTAL(3,B$8:B449))</f>
        <v>442</v>
      </c>
      <c r="B449" s="106" t="str">
        <f>'Detailed Report'!O445</f>
        <v>Fuddruckers - Concord Plaza Mall</v>
      </c>
      <c r="C449" s="107">
        <f>TRUNC('Detailed Report'!Q445,0)</f>
        <v>46038</v>
      </c>
      <c r="D449" s="108">
        <f>'Detailed Report'!P445</f>
        <v>3402974647</v>
      </c>
      <c r="E449" s="106" t="str">
        <f>'Detailed Report'!S445</f>
        <v>Successful</v>
      </c>
      <c r="F449" s="109">
        <f>IF(E449=$E$6,('Detailed Report'!Y445),IF(E449=$E$5,(0),0))</f>
        <v>824.97</v>
      </c>
      <c r="G449" s="106">
        <f>IF(E449=$E$6,('Detailed Report'!AQ445),IF(E449=$E$5,('Detailed Report'!AW445),0))</f>
        <v>723.65788999999995</v>
      </c>
      <c r="H449" s="106">
        <f>'Detailed Report'!AS445</f>
        <v>180.91446999999999</v>
      </c>
      <c r="I449" s="106">
        <f>'Detailed Report'!AT445</f>
        <v>25.328025799999999</v>
      </c>
      <c r="J449" s="106">
        <f>'Detailed Report'!AO445</f>
        <v>14.436975</v>
      </c>
      <c r="K449" s="106">
        <f>'Detailed Report'!AP445</f>
        <v>2.0211765000000002</v>
      </c>
      <c r="L449" s="106">
        <f>'Detailed Report'!AU445/1.14</f>
        <v>0</v>
      </c>
      <c r="M449" s="106">
        <f>'Detailed Report'!AU445-L449</f>
        <v>0</v>
      </c>
      <c r="N449" s="110">
        <f>'Detailed Report'!AW445</f>
        <v>602.26900000000001</v>
      </c>
      <c r="O449" s="111">
        <f t="shared" si="52"/>
        <v>121.38888999999995</v>
      </c>
      <c r="P449" s="110">
        <f>'Detailed Report'!AM445</f>
        <v>0</v>
      </c>
      <c r="Q449" s="110">
        <f>'Detailed Report'!AN445</f>
        <v>0</v>
      </c>
      <c r="R449" s="110">
        <f>'Detailed Report'!AU445/1.14</f>
        <v>0</v>
      </c>
      <c r="S449" s="110">
        <f>'Detailed Report'!AU445-'........... - Otlob'!R449</f>
        <v>0</v>
      </c>
    </row>
    <row r="450" spans="1:19" ht="14.45" customHeight="1" x14ac:dyDescent="0.25">
      <c r="A450" s="105">
        <f>+IF(B450="","",SUBTOTAL(3,B$8:B450))</f>
        <v>443</v>
      </c>
      <c r="B450" s="106" t="str">
        <f>'Detailed Report'!O446</f>
        <v>Fuddruckers - New Maadi</v>
      </c>
      <c r="C450" s="107">
        <f>TRUNC('Detailed Report'!Q446,0)</f>
        <v>46038</v>
      </c>
      <c r="D450" s="108">
        <f>'Detailed Report'!P446</f>
        <v>3402978500</v>
      </c>
      <c r="E450" s="106" t="str">
        <f>'Detailed Report'!S446</f>
        <v>Successful</v>
      </c>
      <c r="F450" s="109">
        <f>IF(E450=$E$6,('Detailed Report'!Y446),IF(E450=$E$5,(0),0))</f>
        <v>538.97</v>
      </c>
      <c r="G450" s="106">
        <f>IF(E450=$E$6,('Detailed Report'!AQ446),IF(E450=$E$5,('Detailed Report'!AW446),0))</f>
        <v>472.78070000000002</v>
      </c>
      <c r="H450" s="106">
        <f>'Detailed Report'!AS446</f>
        <v>118.19517999999999</v>
      </c>
      <c r="I450" s="106">
        <f>'Detailed Report'!AT446</f>
        <v>16.5473252</v>
      </c>
      <c r="J450" s="106">
        <f>'Detailed Report'!AO446</f>
        <v>0</v>
      </c>
      <c r="K450" s="106">
        <f>'Detailed Report'!AP446</f>
        <v>0</v>
      </c>
      <c r="L450" s="106">
        <f>'Detailed Report'!AU446/1.14</f>
        <v>0</v>
      </c>
      <c r="M450" s="106">
        <f>'Detailed Report'!AU446-L450</f>
        <v>0</v>
      </c>
      <c r="N450" s="110">
        <f>'Detailed Report'!AW446</f>
        <v>404.22699999999998</v>
      </c>
      <c r="O450" s="111">
        <f t="shared" si="52"/>
        <v>68.553700000000049</v>
      </c>
      <c r="P450" s="110">
        <f>'Detailed Report'!AM446</f>
        <v>0</v>
      </c>
      <c r="Q450" s="110">
        <f>'Detailed Report'!AN446</f>
        <v>0</v>
      </c>
      <c r="R450" s="110">
        <f>'Detailed Report'!AU446/1.14</f>
        <v>0</v>
      </c>
      <c r="S450" s="110">
        <f>'Detailed Report'!AU446-'........... - Otlob'!R450</f>
        <v>0</v>
      </c>
    </row>
    <row r="451" spans="1:19" ht="14.45" customHeight="1" x14ac:dyDescent="0.25">
      <c r="A451" s="105">
        <f>+IF(B451="","",SUBTOTAL(3,B$8:B451))</f>
        <v>444</v>
      </c>
      <c r="B451" s="106" t="str">
        <f>'Detailed Report'!O447</f>
        <v>Fuddruckers - Concord Plaza Mall</v>
      </c>
      <c r="C451" s="107">
        <f>TRUNC('Detailed Report'!Q447,0)</f>
        <v>46038</v>
      </c>
      <c r="D451" s="108">
        <f>'Detailed Report'!P447</f>
        <v>3403013769</v>
      </c>
      <c r="E451" s="106" t="str">
        <f>'Detailed Report'!S447</f>
        <v>Successful</v>
      </c>
      <c r="F451" s="109">
        <f>IF(E451=$E$6,('Detailed Report'!Y447),IF(E451=$E$5,(0),0))</f>
        <v>846.02</v>
      </c>
      <c r="G451" s="106">
        <f>IF(E451=$E$6,('Detailed Report'!AQ447),IF(E451=$E$5,('Detailed Report'!AW447),0))</f>
        <v>742.12280999999996</v>
      </c>
      <c r="H451" s="106">
        <f>'Detailed Report'!AS447</f>
        <v>185.5307</v>
      </c>
      <c r="I451" s="106">
        <f>'Detailed Report'!AT447</f>
        <v>25.974298000000001</v>
      </c>
      <c r="J451" s="106">
        <f>'Detailed Report'!AO447</f>
        <v>0</v>
      </c>
      <c r="K451" s="106">
        <f>'Detailed Report'!AP447</f>
        <v>0</v>
      </c>
      <c r="L451" s="106">
        <f>'Detailed Report'!AU447/1.14</f>
        <v>29.815789473684216</v>
      </c>
      <c r="M451" s="106">
        <f>'Detailed Report'!AU447-L451</f>
        <v>4.174210526315786</v>
      </c>
      <c r="N451" s="110">
        <f>'Detailed Report'!AW447</f>
        <v>600.52499999999998</v>
      </c>
      <c r="O451" s="111">
        <f t="shared" si="52"/>
        <v>141.59780999999998</v>
      </c>
      <c r="P451" s="110">
        <f>'Detailed Report'!AM447</f>
        <v>0</v>
      </c>
      <c r="Q451" s="110">
        <f>'Detailed Report'!AN447</f>
        <v>0</v>
      </c>
      <c r="R451" s="110">
        <f>'Detailed Report'!AU447/1.14</f>
        <v>29.815789473684216</v>
      </c>
      <c r="S451" s="110">
        <f>'Detailed Report'!AU447-'........... - Otlob'!R451</f>
        <v>4.174210526315786</v>
      </c>
    </row>
    <row r="452" spans="1:19" ht="14.45" customHeight="1" x14ac:dyDescent="0.25">
      <c r="A452" s="105">
        <f>+IF(B452="","",SUBTOTAL(3,B$8:B452))</f>
        <v>445</v>
      </c>
      <c r="B452" s="106" t="str">
        <f>'Detailed Report'!O448</f>
        <v>Fuddruckers - Concord Plaza Mall</v>
      </c>
      <c r="C452" s="107">
        <f>TRUNC('Detailed Report'!Q448,0)</f>
        <v>46038</v>
      </c>
      <c r="D452" s="108">
        <f>'Detailed Report'!P448</f>
        <v>3403036188</v>
      </c>
      <c r="E452" s="106" t="str">
        <f>'Detailed Report'!S448</f>
        <v>Successful</v>
      </c>
      <c r="F452" s="109">
        <f>IF(E452=$E$6,('Detailed Report'!Y448),IF(E452=$E$5,(0),0))</f>
        <v>353.99</v>
      </c>
      <c r="G452" s="106">
        <f>IF(E452=$E$6,('Detailed Report'!AQ448),IF(E452=$E$5,('Detailed Report'!AW448),0))</f>
        <v>310.51754</v>
      </c>
      <c r="H452" s="106">
        <f>'Detailed Report'!AS448</f>
        <v>77.629390000000001</v>
      </c>
      <c r="I452" s="106">
        <f>'Detailed Report'!AT448</f>
        <v>10.8681146</v>
      </c>
      <c r="J452" s="106">
        <f>'Detailed Report'!AO448</f>
        <v>6.1948249999999998</v>
      </c>
      <c r="K452" s="106">
        <f>'Detailed Report'!AP448</f>
        <v>0.86727549999999998</v>
      </c>
      <c r="L452" s="106">
        <f>'Detailed Report'!AU448/1.14</f>
        <v>28.061403508771932</v>
      </c>
      <c r="M452" s="106">
        <f>'Detailed Report'!AU448-L452</f>
        <v>3.9285964912280669</v>
      </c>
      <c r="N452" s="110">
        <f>'Detailed Report'!AW448</f>
        <v>226.44</v>
      </c>
      <c r="O452" s="111">
        <f t="shared" si="52"/>
        <v>84.077539999999999</v>
      </c>
      <c r="P452" s="110">
        <f>'Detailed Report'!AM448</f>
        <v>0</v>
      </c>
      <c r="Q452" s="110">
        <f>'Detailed Report'!AN448</f>
        <v>0</v>
      </c>
      <c r="R452" s="110">
        <f>'Detailed Report'!AU448/1.14</f>
        <v>28.061403508771932</v>
      </c>
      <c r="S452" s="110">
        <f>'Detailed Report'!AU448-'........... - Otlob'!R452</f>
        <v>3.9285964912280669</v>
      </c>
    </row>
    <row r="453" spans="1:19" ht="14.45" customHeight="1" x14ac:dyDescent="0.25">
      <c r="A453" s="105">
        <f>+IF(B453="","",SUBTOTAL(3,B$8:B453))</f>
        <v>446</v>
      </c>
      <c r="B453" s="106" t="str">
        <f>'Detailed Report'!O449</f>
        <v>Fuddruckers - Concord Plaza Mall</v>
      </c>
      <c r="C453" s="107">
        <f>TRUNC('Detailed Report'!Q449,0)</f>
        <v>46038</v>
      </c>
      <c r="D453" s="108">
        <f>'Detailed Report'!P449</f>
        <v>3403099904</v>
      </c>
      <c r="E453" s="106" t="str">
        <f>'Detailed Report'!S449</f>
        <v>Successful</v>
      </c>
      <c r="F453" s="109">
        <f>IF(E453=$E$6,('Detailed Report'!Y449),IF(E453=$E$5,(0),0))</f>
        <v>1199.94</v>
      </c>
      <c r="G453" s="106">
        <f>IF(E453=$E$6,('Detailed Report'!AQ449),IF(E453=$E$5,('Detailed Report'!AW449),0))</f>
        <v>1052.5789500000001</v>
      </c>
      <c r="H453" s="106">
        <f>'Detailed Report'!AS449</f>
        <v>263.14474000000001</v>
      </c>
      <c r="I453" s="106">
        <f>'Detailed Report'!AT449</f>
        <v>36.8402636</v>
      </c>
      <c r="J453" s="106">
        <f>'Detailed Report'!AO449</f>
        <v>20.99895175</v>
      </c>
      <c r="K453" s="106">
        <f>'Detailed Report'!AP449</f>
        <v>2.9398532450000001</v>
      </c>
      <c r="L453" s="106">
        <f>'Detailed Report'!AU449/1.14</f>
        <v>28.938596491228076</v>
      </c>
      <c r="M453" s="106">
        <f>'Detailed Report'!AU449-L453</f>
        <v>4.0514035087719265</v>
      </c>
      <c r="N453" s="110">
        <f>'Detailed Report'!AW449</f>
        <v>843.02599999999995</v>
      </c>
      <c r="O453" s="111">
        <f t="shared" si="52"/>
        <v>209.55295000000012</v>
      </c>
      <c r="P453" s="110">
        <f>'Detailed Report'!AM449</f>
        <v>0</v>
      </c>
      <c r="Q453" s="110">
        <f>'Detailed Report'!AN449</f>
        <v>0</v>
      </c>
      <c r="R453" s="110">
        <f>'Detailed Report'!AU449/1.14</f>
        <v>28.938596491228076</v>
      </c>
      <c r="S453" s="110">
        <f>'Detailed Report'!AU449-'........... - Otlob'!R453</f>
        <v>4.0514035087719265</v>
      </c>
    </row>
    <row r="454" spans="1:19" ht="14.45" customHeight="1" x14ac:dyDescent="0.25">
      <c r="A454" s="105">
        <f>+IF(B454="","",SUBTOTAL(3,B$8:B454))</f>
        <v>447</v>
      </c>
      <c r="B454" s="106" t="str">
        <f>'Detailed Report'!O450</f>
        <v>Fuddruckers - New Maadi</v>
      </c>
      <c r="C454" s="107">
        <f>TRUNC('Detailed Report'!Q450,0)</f>
        <v>46038</v>
      </c>
      <c r="D454" s="108">
        <f>'Detailed Report'!P450</f>
        <v>3403130090</v>
      </c>
      <c r="E454" s="106" t="str">
        <f>'Detailed Report'!S450</f>
        <v>Successful</v>
      </c>
      <c r="F454" s="109">
        <f>IF(E454=$E$6,('Detailed Report'!Y450),IF(E454=$E$5,(0),0))</f>
        <v>1316</v>
      </c>
      <c r="G454" s="106">
        <f>IF(E454=$E$6,('Detailed Report'!AQ450),IF(E454=$E$5,('Detailed Report'!AW450),0))</f>
        <v>1154.3859600000001</v>
      </c>
      <c r="H454" s="106">
        <f>'Detailed Report'!AS450</f>
        <v>288.59649000000002</v>
      </c>
      <c r="I454" s="106">
        <f>'Detailed Report'!AT450</f>
        <v>40.403508600000002</v>
      </c>
      <c r="J454" s="106">
        <f>'Detailed Report'!AO450</f>
        <v>23.03</v>
      </c>
      <c r="K454" s="106">
        <f>'Detailed Report'!AP450</f>
        <v>3.2242000000000002</v>
      </c>
      <c r="L454" s="106">
        <f>'Detailed Report'!AU450/1.14</f>
        <v>25.42982456140351</v>
      </c>
      <c r="M454" s="106">
        <f>'Detailed Report'!AU450-L454</f>
        <v>3.5601754385964881</v>
      </c>
      <c r="N454" s="110">
        <f>'Detailed Report'!AW450</f>
        <v>931.75599999999997</v>
      </c>
      <c r="O454" s="111">
        <f t="shared" si="52"/>
        <v>222.6299600000001</v>
      </c>
      <c r="P454" s="110">
        <f>'Detailed Report'!AM450</f>
        <v>0</v>
      </c>
      <c r="Q454" s="110">
        <f>'Detailed Report'!AN450</f>
        <v>0</v>
      </c>
      <c r="R454" s="110">
        <f>'Detailed Report'!AU450/1.14</f>
        <v>25.42982456140351</v>
      </c>
      <c r="S454" s="110">
        <f>'Detailed Report'!AU450-'........... - Otlob'!R454</f>
        <v>3.5601754385964881</v>
      </c>
    </row>
    <row r="455" spans="1:19" ht="14.45" customHeight="1" x14ac:dyDescent="0.25">
      <c r="A455" s="105">
        <f>+IF(B455="","",SUBTOTAL(3,B$8:B455))</f>
        <v>448</v>
      </c>
      <c r="B455" s="106" t="str">
        <f>'Detailed Report'!O451</f>
        <v>Fuddruckers - Concord Plaza Mall</v>
      </c>
      <c r="C455" s="107">
        <f>TRUNC('Detailed Report'!Q451,0)</f>
        <v>46038</v>
      </c>
      <c r="D455" s="108">
        <f>'Detailed Report'!P451</f>
        <v>3403132434</v>
      </c>
      <c r="E455" s="106" t="str">
        <f>'Detailed Report'!S451</f>
        <v>Successful</v>
      </c>
      <c r="F455" s="109">
        <f>IF(E455=$E$6,('Detailed Report'!Y451),IF(E455=$E$5,(0),0))</f>
        <v>706.64</v>
      </c>
      <c r="G455" s="106">
        <f>IF(E455=$E$6,('Detailed Report'!AQ451),IF(E455=$E$5,('Detailed Report'!AW451),0))</f>
        <v>619.85964999999999</v>
      </c>
      <c r="H455" s="106">
        <f>'Detailed Report'!AS451</f>
        <v>154.96491</v>
      </c>
      <c r="I455" s="106">
        <f>'Detailed Report'!AT451</f>
        <v>21.695087399999998</v>
      </c>
      <c r="J455" s="106">
        <f>'Detailed Report'!AO451</f>
        <v>12.366199999999999</v>
      </c>
      <c r="K455" s="106">
        <f>'Detailed Report'!AP451</f>
        <v>1.731268</v>
      </c>
      <c r="L455" s="106">
        <f>'Detailed Report'!AU451/1.14</f>
        <v>28.061403508771932</v>
      </c>
      <c r="M455" s="106">
        <f>'Detailed Report'!AU451-L455</f>
        <v>3.9285964912280669</v>
      </c>
      <c r="N455" s="110">
        <f>'Detailed Report'!AW451</f>
        <v>483.89299999999997</v>
      </c>
      <c r="O455" s="111">
        <f t="shared" si="52"/>
        <v>135.96665000000002</v>
      </c>
      <c r="P455" s="110">
        <f>'Detailed Report'!AM451</f>
        <v>0</v>
      </c>
      <c r="Q455" s="110">
        <f>'Detailed Report'!AN451</f>
        <v>0</v>
      </c>
      <c r="R455" s="110">
        <f>'Detailed Report'!AU451/1.14</f>
        <v>28.061403508771932</v>
      </c>
      <c r="S455" s="110">
        <f>'Detailed Report'!AU451-'........... - Otlob'!R455</f>
        <v>3.9285964912280669</v>
      </c>
    </row>
    <row r="456" spans="1:19" ht="14.45" customHeight="1" x14ac:dyDescent="0.25">
      <c r="A456" s="105">
        <f>+IF(B456="","",SUBTOTAL(3,B$8:B456))</f>
        <v>449</v>
      </c>
      <c r="B456" s="106" t="str">
        <f>'Detailed Report'!O452</f>
        <v>Fuddruckers - Concord Plaza Mall</v>
      </c>
      <c r="C456" s="107">
        <f>TRUNC('Detailed Report'!Q452,0)</f>
        <v>46038</v>
      </c>
      <c r="D456" s="108">
        <f>'Detailed Report'!P452</f>
        <v>3403169870</v>
      </c>
      <c r="E456" s="106" t="str">
        <f>'Detailed Report'!S452</f>
        <v>Successful</v>
      </c>
      <c r="F456" s="109">
        <f>IF(E456=$E$6,('Detailed Report'!Y452),IF(E456=$E$5,(0),0))</f>
        <v>250.99</v>
      </c>
      <c r="G456" s="106">
        <f>IF(E456=$E$6,('Detailed Report'!AQ452),IF(E456=$E$5,('Detailed Report'!AW452),0))</f>
        <v>220.16667000000001</v>
      </c>
      <c r="H456" s="106">
        <f>'Detailed Report'!AS452</f>
        <v>55.041670000000003</v>
      </c>
      <c r="I456" s="106">
        <f>'Detailed Report'!AT452</f>
        <v>7.7058337999999997</v>
      </c>
      <c r="J456" s="106">
        <f>'Detailed Report'!AO452</f>
        <v>4.3923249999999996</v>
      </c>
      <c r="K456" s="106">
        <f>'Detailed Report'!AP452</f>
        <v>0.61492550000000001</v>
      </c>
      <c r="L456" s="106">
        <f>'Detailed Report'!AU452/1.14</f>
        <v>27.184210526315791</v>
      </c>
      <c r="M456" s="106">
        <f>'Detailed Report'!AU452-L456</f>
        <v>3.8057894736842073</v>
      </c>
      <c r="N456" s="110">
        <f>'Detailed Report'!AW452</f>
        <v>152.245</v>
      </c>
      <c r="O456" s="111">
        <f t="shared" si="52"/>
        <v>67.921670000000006</v>
      </c>
      <c r="P456" s="110">
        <f>'Detailed Report'!AM452</f>
        <v>0</v>
      </c>
      <c r="Q456" s="110">
        <f>'Detailed Report'!AN452</f>
        <v>0</v>
      </c>
      <c r="R456" s="110">
        <f>'Detailed Report'!AU452/1.14</f>
        <v>27.184210526315791</v>
      </c>
      <c r="S456" s="110">
        <f>'Detailed Report'!AU452-'........... - Otlob'!R456</f>
        <v>3.8057894736842073</v>
      </c>
    </row>
    <row r="457" spans="1:19" ht="14.45" customHeight="1" x14ac:dyDescent="0.25">
      <c r="A457" s="105">
        <f>+IF(B457="","",SUBTOTAL(3,B$8:B457))</f>
        <v>450</v>
      </c>
      <c r="B457" s="106" t="str">
        <f>'Detailed Report'!O453</f>
        <v>Fuddruckers - City Stars</v>
      </c>
      <c r="C457" s="107">
        <f>TRUNC('Detailed Report'!Q453,0)</f>
        <v>46038</v>
      </c>
      <c r="D457" s="108">
        <f>'Detailed Report'!P453</f>
        <v>3403203629</v>
      </c>
      <c r="E457" s="106" t="str">
        <f>'Detailed Report'!S453</f>
        <v>Successful</v>
      </c>
      <c r="F457" s="109">
        <f>IF(E457=$E$6,('Detailed Report'!Y453),IF(E457=$E$5,(0),0))</f>
        <v>259.99</v>
      </c>
      <c r="G457" s="106">
        <f>IF(E457=$E$6,('Detailed Report'!AQ453),IF(E457=$E$5,('Detailed Report'!AW453),0))</f>
        <v>228.06139999999999</v>
      </c>
      <c r="H457" s="106">
        <f>'Detailed Report'!AS453</f>
        <v>57.015349999999998</v>
      </c>
      <c r="I457" s="106">
        <f>'Detailed Report'!AT453</f>
        <v>7.9821489999999997</v>
      </c>
      <c r="J457" s="106">
        <f>'Detailed Report'!AO453</f>
        <v>0</v>
      </c>
      <c r="K457" s="106">
        <f>'Detailed Report'!AP453</f>
        <v>0</v>
      </c>
      <c r="L457" s="106">
        <f>'Detailed Report'!AU453/1.14</f>
        <v>23.67543859649123</v>
      </c>
      <c r="M457" s="106">
        <f>'Detailed Report'!AU453-L457</f>
        <v>3.3145614035087689</v>
      </c>
      <c r="N457" s="110">
        <f>'Detailed Report'!AW453</f>
        <v>168.00299999999999</v>
      </c>
      <c r="O457" s="111">
        <f t="shared" ref="O457:O520" si="53">G457-N457</f>
        <v>60.058400000000006</v>
      </c>
      <c r="P457" s="110">
        <f>'Detailed Report'!AM453</f>
        <v>0</v>
      </c>
      <c r="Q457" s="110">
        <f>'Detailed Report'!AN453</f>
        <v>0</v>
      </c>
      <c r="R457" s="110">
        <f>'Detailed Report'!AU453/1.14</f>
        <v>23.67543859649123</v>
      </c>
      <c r="S457" s="110">
        <f>'Detailed Report'!AU453-'........... - Otlob'!R457</f>
        <v>3.3145614035087689</v>
      </c>
    </row>
    <row r="458" spans="1:19" ht="14.45" customHeight="1" x14ac:dyDescent="0.25">
      <c r="A458" s="105">
        <f>+IF(B458="","",SUBTOTAL(3,B$8:B458))</f>
        <v>451</v>
      </c>
      <c r="B458" s="106" t="str">
        <f>'Detailed Report'!O454</f>
        <v>Fuddruckers - New Maadi</v>
      </c>
      <c r="C458" s="107">
        <f>TRUNC('Detailed Report'!Q454,0)</f>
        <v>46038</v>
      </c>
      <c r="D458" s="108">
        <f>'Detailed Report'!P454</f>
        <v>3403298923</v>
      </c>
      <c r="E458" s="106" t="str">
        <f>'Detailed Report'!S454</f>
        <v>Successful</v>
      </c>
      <c r="F458" s="109">
        <f>IF(E458=$E$6,('Detailed Report'!Y454),IF(E458=$E$5,(0),0))</f>
        <v>367.86</v>
      </c>
      <c r="G458" s="106">
        <f>IF(E458=$E$6,('Detailed Report'!AQ454),IF(E458=$E$5,('Detailed Report'!AW454),0))</f>
        <v>322.68421000000001</v>
      </c>
      <c r="H458" s="106">
        <f>'Detailed Report'!AS454</f>
        <v>80.671049999999994</v>
      </c>
      <c r="I458" s="106">
        <f>'Detailed Report'!AT454</f>
        <v>11.293946999999999</v>
      </c>
      <c r="J458" s="106">
        <f>'Detailed Report'!AO454</f>
        <v>6.4375499999999999</v>
      </c>
      <c r="K458" s="106">
        <f>'Detailed Report'!AP454</f>
        <v>0.90125699999999997</v>
      </c>
      <c r="L458" s="106">
        <f>'Detailed Report'!AU454/1.14</f>
        <v>26.307017543859651</v>
      </c>
      <c r="M458" s="106">
        <f>'Detailed Report'!AU454-L458</f>
        <v>3.6829824561403477</v>
      </c>
      <c r="N458" s="110">
        <f>'Detailed Report'!AW454</f>
        <v>238.566</v>
      </c>
      <c r="O458" s="111">
        <f t="shared" si="53"/>
        <v>84.118210000000005</v>
      </c>
      <c r="P458" s="110">
        <f>'Detailed Report'!AM454</f>
        <v>0</v>
      </c>
      <c r="Q458" s="110">
        <f>'Detailed Report'!AN454</f>
        <v>0</v>
      </c>
      <c r="R458" s="110">
        <f>'Detailed Report'!AU454/1.14</f>
        <v>26.307017543859651</v>
      </c>
      <c r="S458" s="110">
        <f>'Detailed Report'!AU454-'........... - Otlob'!R458</f>
        <v>3.6829824561403477</v>
      </c>
    </row>
    <row r="459" spans="1:19" ht="14.45" customHeight="1" x14ac:dyDescent="0.25">
      <c r="A459" s="105">
        <f>+IF(B459="","",SUBTOTAL(3,B$8:B459))</f>
        <v>452</v>
      </c>
      <c r="B459" s="106" t="str">
        <f>'Detailed Report'!O455</f>
        <v>Fuddruckers - Concord Plaza Mall</v>
      </c>
      <c r="C459" s="107">
        <f>TRUNC('Detailed Report'!Q455,0)</f>
        <v>46038</v>
      </c>
      <c r="D459" s="108">
        <f>'Detailed Report'!P455</f>
        <v>3403344634</v>
      </c>
      <c r="E459" s="106" t="str">
        <f>'Detailed Report'!S455</f>
        <v>Successful</v>
      </c>
      <c r="F459" s="109">
        <f>IF(E459=$E$6,('Detailed Report'!Y455),IF(E459=$E$5,(0),0))</f>
        <v>425.98</v>
      </c>
      <c r="G459" s="106">
        <f>IF(E459=$E$6,('Detailed Report'!AQ455),IF(E459=$E$5,('Detailed Report'!AW455),0))</f>
        <v>373.66667000000001</v>
      </c>
      <c r="H459" s="106">
        <f>'Detailed Report'!AS455</f>
        <v>93.416669999999996</v>
      </c>
      <c r="I459" s="106">
        <f>'Detailed Report'!AT455</f>
        <v>13.078333799999999</v>
      </c>
      <c r="J459" s="106">
        <f>'Detailed Report'!AO455</f>
        <v>0</v>
      </c>
      <c r="K459" s="106">
        <f>'Detailed Report'!AP455</f>
        <v>0</v>
      </c>
      <c r="L459" s="106">
        <f>'Detailed Report'!AU455/1.14</f>
        <v>0</v>
      </c>
      <c r="M459" s="106">
        <f>'Detailed Report'!AU455-L459</f>
        <v>0</v>
      </c>
      <c r="N459" s="110">
        <f>'Detailed Report'!AW455</f>
        <v>319.48500000000001</v>
      </c>
      <c r="O459" s="111">
        <f t="shared" si="53"/>
        <v>54.181669999999997</v>
      </c>
      <c r="P459" s="110">
        <f>'Detailed Report'!AM455</f>
        <v>0</v>
      </c>
      <c r="Q459" s="110">
        <f>'Detailed Report'!AN455</f>
        <v>0</v>
      </c>
      <c r="R459" s="110">
        <f>'Detailed Report'!AU455/1.14</f>
        <v>0</v>
      </c>
      <c r="S459" s="110">
        <f>'Detailed Report'!AU455-'........... - Otlob'!R459</f>
        <v>0</v>
      </c>
    </row>
    <row r="460" spans="1:19" ht="14.45" customHeight="1" x14ac:dyDescent="0.25">
      <c r="A460" s="105">
        <f>+IF(B460="","",SUBTOTAL(3,B$8:B460))</f>
        <v>453</v>
      </c>
      <c r="B460" s="106" t="str">
        <f>'Detailed Report'!O456</f>
        <v>Fuddruckers - New Maadi</v>
      </c>
      <c r="C460" s="107">
        <f>TRUNC('Detailed Report'!Q456,0)</f>
        <v>46038</v>
      </c>
      <c r="D460" s="108">
        <f>'Detailed Report'!P456</f>
        <v>3403357744</v>
      </c>
      <c r="E460" s="106" t="str">
        <f>'Detailed Report'!S456</f>
        <v>Successful</v>
      </c>
      <c r="F460" s="109">
        <f>IF(E460=$E$6,('Detailed Report'!Y456),IF(E460=$E$5,(0),0))</f>
        <v>321.86</v>
      </c>
      <c r="G460" s="106">
        <f>IF(E460=$E$6,('Detailed Report'!AQ456),IF(E460=$E$5,('Detailed Report'!AW456),0))</f>
        <v>282.33332999999999</v>
      </c>
      <c r="H460" s="106">
        <f>'Detailed Report'!AS456</f>
        <v>70.583330000000004</v>
      </c>
      <c r="I460" s="106">
        <f>'Detailed Report'!AT456</f>
        <v>9.8816661999999997</v>
      </c>
      <c r="J460" s="106">
        <f>'Detailed Report'!AO456</f>
        <v>5.6325500000000002</v>
      </c>
      <c r="K460" s="106">
        <f>'Detailed Report'!AP456</f>
        <v>0.78855699999999995</v>
      </c>
      <c r="L460" s="106">
        <f>'Detailed Report'!AU456/1.14</f>
        <v>0</v>
      </c>
      <c r="M460" s="106">
        <f>'Detailed Report'!AU456-L460</f>
        <v>0</v>
      </c>
      <c r="N460" s="110">
        <f>'Detailed Report'!AW456</f>
        <v>234.97399999999999</v>
      </c>
      <c r="O460" s="111">
        <f t="shared" si="53"/>
        <v>47.35933</v>
      </c>
      <c r="P460" s="110">
        <f>'Detailed Report'!AM456</f>
        <v>0</v>
      </c>
      <c r="Q460" s="110">
        <f>'Detailed Report'!AN456</f>
        <v>0</v>
      </c>
      <c r="R460" s="110">
        <f>'Detailed Report'!AU456/1.14</f>
        <v>0</v>
      </c>
      <c r="S460" s="110">
        <f>'Detailed Report'!AU456-'........... - Otlob'!R460</f>
        <v>0</v>
      </c>
    </row>
    <row r="461" spans="1:19" ht="14.45" customHeight="1" x14ac:dyDescent="0.25">
      <c r="A461" s="105">
        <f>+IF(B461="","",SUBTOTAL(3,B$8:B461))</f>
        <v>454</v>
      </c>
      <c r="B461" s="106" t="str">
        <f>'Detailed Report'!O457</f>
        <v>Fuddruckers - Concord Plaza Mall</v>
      </c>
      <c r="C461" s="107">
        <f>TRUNC('Detailed Report'!Q457,0)</f>
        <v>46038</v>
      </c>
      <c r="D461" s="108">
        <f>'Detailed Report'!P457</f>
        <v>3403369882</v>
      </c>
      <c r="E461" s="106" t="str">
        <f>'Detailed Report'!S457</f>
        <v>Successful</v>
      </c>
      <c r="F461" s="109">
        <f>IF(E461=$E$6,('Detailed Report'!Y457),IF(E461=$E$5,(0),0))</f>
        <v>846.32</v>
      </c>
      <c r="G461" s="106">
        <f>IF(E461=$E$6,('Detailed Report'!AQ457),IF(E461=$E$5,('Detailed Report'!AW457),0))</f>
        <v>1026.5964899999999</v>
      </c>
      <c r="H461" s="106">
        <f>'Detailed Report'!AS457</f>
        <v>256.64911999999998</v>
      </c>
      <c r="I461" s="106">
        <f>'Detailed Report'!AT457</f>
        <v>35.9308768</v>
      </c>
      <c r="J461" s="106">
        <f>'Detailed Report'!AO457</f>
        <v>0</v>
      </c>
      <c r="K461" s="106">
        <f>'Detailed Report'!AP457</f>
        <v>0</v>
      </c>
      <c r="L461" s="106">
        <f>'Detailed Report'!AU457/1.14</f>
        <v>0</v>
      </c>
      <c r="M461" s="106">
        <f>'Detailed Report'!AU457-L461</f>
        <v>0</v>
      </c>
      <c r="N461" s="110">
        <f>'Detailed Report'!AW457</f>
        <v>553.74</v>
      </c>
      <c r="O461" s="111">
        <f t="shared" si="53"/>
        <v>472.85648999999989</v>
      </c>
      <c r="P461" s="110">
        <f>'Detailed Report'!AM457</f>
        <v>0</v>
      </c>
      <c r="Q461" s="110">
        <f>'Detailed Report'!AN457</f>
        <v>0</v>
      </c>
      <c r="R461" s="110">
        <f>'Detailed Report'!AU457/1.14</f>
        <v>0</v>
      </c>
      <c r="S461" s="110">
        <f>'Detailed Report'!AU457-'........... - Otlob'!R461</f>
        <v>0</v>
      </c>
    </row>
    <row r="462" spans="1:19" ht="14.45" customHeight="1" x14ac:dyDescent="0.25">
      <c r="A462" s="105">
        <f>+IF(B462="","",SUBTOTAL(3,B$8:B462))</f>
        <v>455</v>
      </c>
      <c r="B462" s="106" t="str">
        <f>'Detailed Report'!O458</f>
        <v>Fuddruckers - Concord Plaza Mall</v>
      </c>
      <c r="C462" s="107">
        <f>TRUNC('Detailed Report'!Q458,0)</f>
        <v>46038</v>
      </c>
      <c r="D462" s="108">
        <f>'Detailed Report'!P458</f>
        <v>3403411237</v>
      </c>
      <c r="E462" s="106" t="str">
        <f>'Detailed Report'!S458</f>
        <v>Successful</v>
      </c>
      <c r="F462" s="109">
        <f>IF(E462=$E$6,('Detailed Report'!Y458),IF(E462=$E$5,(0),0))</f>
        <v>363.99</v>
      </c>
      <c r="G462" s="106">
        <f>IF(E462=$E$6,('Detailed Report'!AQ458),IF(E462=$E$5,('Detailed Report'!AW458),0))</f>
        <v>319.28946999999999</v>
      </c>
      <c r="H462" s="106">
        <f>'Detailed Report'!AS458</f>
        <v>79.822370000000006</v>
      </c>
      <c r="I462" s="106">
        <f>'Detailed Report'!AT458</f>
        <v>11.175131800000001</v>
      </c>
      <c r="J462" s="106">
        <f>'Detailed Report'!AO458</f>
        <v>6.3698249999999996</v>
      </c>
      <c r="K462" s="106">
        <f>'Detailed Report'!AP458</f>
        <v>0.89177550000000005</v>
      </c>
      <c r="L462" s="106">
        <f>'Detailed Report'!AU458/1.14</f>
        <v>28.938596491228076</v>
      </c>
      <c r="M462" s="106">
        <f>'Detailed Report'!AU458-L462</f>
        <v>4.0514035087719265</v>
      </c>
      <c r="N462" s="110">
        <f>'Detailed Report'!AW458</f>
        <v>232.74100000000001</v>
      </c>
      <c r="O462" s="111">
        <f t="shared" si="53"/>
        <v>86.54846999999998</v>
      </c>
      <c r="P462" s="110">
        <f>'Detailed Report'!AM458</f>
        <v>0</v>
      </c>
      <c r="Q462" s="110">
        <f>'Detailed Report'!AN458</f>
        <v>0</v>
      </c>
      <c r="R462" s="110">
        <f>'Detailed Report'!AU458/1.14</f>
        <v>28.938596491228076</v>
      </c>
      <c r="S462" s="110">
        <f>'Detailed Report'!AU458-'........... - Otlob'!R462</f>
        <v>4.0514035087719265</v>
      </c>
    </row>
    <row r="463" spans="1:19" ht="14.45" customHeight="1" x14ac:dyDescent="0.25">
      <c r="A463" s="105">
        <f>+IF(B463="","",SUBTOTAL(3,B$8:B463))</f>
        <v>456</v>
      </c>
      <c r="B463" s="106" t="str">
        <f>'Detailed Report'!O459</f>
        <v>Fuddruckers - Concord Plaza Mall</v>
      </c>
      <c r="C463" s="107">
        <f>TRUNC('Detailed Report'!Q459,0)</f>
        <v>46038</v>
      </c>
      <c r="D463" s="108">
        <f>'Detailed Report'!P459</f>
        <v>3403447093</v>
      </c>
      <c r="E463" s="106" t="str">
        <f>'Detailed Report'!S459</f>
        <v>Successful</v>
      </c>
      <c r="F463" s="109">
        <f>IF(E463=$E$6,('Detailed Report'!Y459),IF(E463=$E$5,(0),0))</f>
        <v>1511.96</v>
      </c>
      <c r="G463" s="106">
        <f>IF(E463=$E$6,('Detailed Report'!AQ459),IF(E463=$E$5,('Detailed Report'!AW459),0))</f>
        <v>1326.2807</v>
      </c>
      <c r="H463" s="106">
        <f>'Detailed Report'!AS459</f>
        <v>331.57017999999999</v>
      </c>
      <c r="I463" s="106">
        <f>'Detailed Report'!AT459</f>
        <v>46.419825199999998</v>
      </c>
      <c r="J463" s="106">
        <f>'Detailed Report'!AO459</f>
        <v>0</v>
      </c>
      <c r="K463" s="106">
        <f>'Detailed Report'!AP459</f>
        <v>0</v>
      </c>
      <c r="L463" s="106">
        <f>'Detailed Report'!AU459/1.14</f>
        <v>0</v>
      </c>
      <c r="M463" s="106">
        <f>'Detailed Report'!AU459-L463</f>
        <v>0</v>
      </c>
      <c r="N463" s="110">
        <f>'Detailed Report'!AW459</f>
        <v>1133.97</v>
      </c>
      <c r="O463" s="111">
        <f t="shared" si="53"/>
        <v>192.3107</v>
      </c>
      <c r="P463" s="110">
        <f>'Detailed Report'!AM459</f>
        <v>0</v>
      </c>
      <c r="Q463" s="110">
        <f>'Detailed Report'!AN459</f>
        <v>0</v>
      </c>
      <c r="R463" s="110">
        <f>'Detailed Report'!AU459/1.14</f>
        <v>0</v>
      </c>
      <c r="S463" s="110">
        <f>'Detailed Report'!AU459-'........... - Otlob'!R463</f>
        <v>0</v>
      </c>
    </row>
    <row r="464" spans="1:19" ht="14.45" customHeight="1" x14ac:dyDescent="0.25">
      <c r="A464" s="105">
        <f>+IF(B464="","",SUBTOTAL(3,B$8:B464))</f>
        <v>457</v>
      </c>
      <c r="B464" s="106" t="str">
        <f>'Detailed Report'!O460</f>
        <v>Fuddruckers - Concord Plaza Mall</v>
      </c>
      <c r="C464" s="107">
        <f>TRUNC('Detailed Report'!Q460,0)</f>
        <v>46038</v>
      </c>
      <c r="D464" s="108">
        <f>'Detailed Report'!P460</f>
        <v>3403469357</v>
      </c>
      <c r="E464" s="106" t="str">
        <f>'Detailed Report'!S460</f>
        <v>Successful</v>
      </c>
      <c r="F464" s="109">
        <f>IF(E464=$E$6,('Detailed Report'!Y460),IF(E464=$E$5,(0),0))</f>
        <v>709.98</v>
      </c>
      <c r="G464" s="106">
        <f>IF(E464=$E$6,('Detailed Report'!AQ460),IF(E464=$E$5,('Detailed Report'!AW460),0))</f>
        <v>622.78947000000005</v>
      </c>
      <c r="H464" s="106">
        <f>'Detailed Report'!AS460</f>
        <v>155.69737000000001</v>
      </c>
      <c r="I464" s="106">
        <f>'Detailed Report'!AT460</f>
        <v>21.797631800000001</v>
      </c>
      <c r="J464" s="106">
        <f>'Detailed Report'!AO460</f>
        <v>12.42465</v>
      </c>
      <c r="K464" s="106">
        <f>'Detailed Report'!AP460</f>
        <v>1.7394510000000001</v>
      </c>
      <c r="L464" s="106">
        <f>'Detailed Report'!AU460/1.14</f>
        <v>0</v>
      </c>
      <c r="M464" s="106">
        <f>'Detailed Report'!AU460-L464</f>
        <v>0</v>
      </c>
      <c r="N464" s="110">
        <f>'Detailed Report'!AW460</f>
        <v>518.32100000000003</v>
      </c>
      <c r="O464" s="111">
        <f t="shared" si="53"/>
        <v>104.46847000000002</v>
      </c>
      <c r="P464" s="110">
        <f>'Detailed Report'!AM460</f>
        <v>0</v>
      </c>
      <c r="Q464" s="110">
        <f>'Detailed Report'!AN460</f>
        <v>0</v>
      </c>
      <c r="R464" s="110">
        <f>'Detailed Report'!AU460/1.14</f>
        <v>0</v>
      </c>
      <c r="S464" s="110">
        <f>'Detailed Report'!AU460-'........... - Otlob'!R464</f>
        <v>0</v>
      </c>
    </row>
    <row r="465" spans="1:19" ht="14.45" customHeight="1" x14ac:dyDescent="0.25">
      <c r="A465" s="105">
        <f>+IF(B465="","",SUBTOTAL(3,B$8:B465))</f>
        <v>458</v>
      </c>
      <c r="B465" s="106" t="str">
        <f>'Detailed Report'!O461</f>
        <v>Fuddruckers - Concord Plaza Mall</v>
      </c>
      <c r="C465" s="107">
        <f>TRUNC('Detailed Report'!Q461,0)</f>
        <v>46038</v>
      </c>
      <c r="D465" s="108">
        <f>'Detailed Report'!P461</f>
        <v>3403470414</v>
      </c>
      <c r="E465" s="106" t="str">
        <f>'Detailed Report'!S461</f>
        <v>Successful</v>
      </c>
      <c r="F465" s="109">
        <f>IF(E465=$E$6,('Detailed Report'!Y461),IF(E465=$E$5,(0),0))</f>
        <v>710.98</v>
      </c>
      <c r="G465" s="106">
        <f>IF(E465=$E$6,('Detailed Report'!AQ461),IF(E465=$E$5,('Detailed Report'!AW461),0))</f>
        <v>623.66666999999995</v>
      </c>
      <c r="H465" s="106">
        <f>'Detailed Report'!AS461</f>
        <v>155.91667000000001</v>
      </c>
      <c r="I465" s="106">
        <f>'Detailed Report'!AT461</f>
        <v>21.828333799999999</v>
      </c>
      <c r="J465" s="106">
        <f>'Detailed Report'!AO461</f>
        <v>12.44215</v>
      </c>
      <c r="K465" s="106">
        <f>'Detailed Report'!AP461</f>
        <v>1.7419009999999999</v>
      </c>
      <c r="L465" s="106">
        <f>'Detailed Report'!AU461/1.14</f>
        <v>0</v>
      </c>
      <c r="M465" s="106">
        <f>'Detailed Report'!AU461-L465</f>
        <v>0</v>
      </c>
      <c r="N465" s="110">
        <f>'Detailed Report'!AW461</f>
        <v>519.05100000000004</v>
      </c>
      <c r="O465" s="111">
        <f t="shared" si="53"/>
        <v>104.61566999999991</v>
      </c>
      <c r="P465" s="110">
        <f>'Detailed Report'!AM461</f>
        <v>0</v>
      </c>
      <c r="Q465" s="110">
        <f>'Detailed Report'!AN461</f>
        <v>0</v>
      </c>
      <c r="R465" s="110">
        <f>'Detailed Report'!AU461/1.14</f>
        <v>0</v>
      </c>
      <c r="S465" s="110">
        <f>'Detailed Report'!AU461-'........... - Otlob'!R465</f>
        <v>0</v>
      </c>
    </row>
    <row r="466" spans="1:19" ht="14.45" customHeight="1" x14ac:dyDescent="0.25">
      <c r="A466" s="105">
        <f>+IF(B466="","",SUBTOTAL(3,B$8:B466))</f>
        <v>459</v>
      </c>
      <c r="B466" s="106" t="str">
        <f>'Detailed Report'!O462</f>
        <v>Fuddruckers - Concord Plaza Mall</v>
      </c>
      <c r="C466" s="107">
        <f>TRUNC('Detailed Report'!Q462,0)</f>
        <v>46038</v>
      </c>
      <c r="D466" s="108">
        <f>'Detailed Report'!P462</f>
        <v>3403553230</v>
      </c>
      <c r="E466" s="106" t="str">
        <f>'Detailed Report'!S462</f>
        <v>Successful</v>
      </c>
      <c r="F466" s="109">
        <f>IF(E466=$E$6,('Detailed Report'!Y462),IF(E466=$E$5,(0),0))</f>
        <v>543.99</v>
      </c>
      <c r="G466" s="106">
        <f>IF(E466=$E$6,('Detailed Report'!AQ462),IF(E466=$E$5,('Detailed Report'!AW462),0))</f>
        <v>477.18421000000001</v>
      </c>
      <c r="H466" s="106">
        <f>'Detailed Report'!AS462</f>
        <v>119.29604999999999</v>
      </c>
      <c r="I466" s="106">
        <f>'Detailed Report'!AT462</f>
        <v>16.701447000000002</v>
      </c>
      <c r="J466" s="106">
        <f>'Detailed Report'!AO462</f>
        <v>0</v>
      </c>
      <c r="K466" s="106">
        <f>'Detailed Report'!AP462</f>
        <v>0</v>
      </c>
      <c r="L466" s="106">
        <f>'Detailed Report'!AU462/1.14</f>
        <v>0</v>
      </c>
      <c r="M466" s="106">
        <f>'Detailed Report'!AU462-L466</f>
        <v>0</v>
      </c>
      <c r="N466" s="110">
        <f>'Detailed Report'!AW462</f>
        <v>407.99299999999999</v>
      </c>
      <c r="O466" s="111">
        <f t="shared" si="53"/>
        <v>69.191210000000012</v>
      </c>
      <c r="P466" s="110">
        <f>'Detailed Report'!AM462</f>
        <v>0</v>
      </c>
      <c r="Q466" s="110">
        <f>'Detailed Report'!AN462</f>
        <v>0</v>
      </c>
      <c r="R466" s="110">
        <f>'Detailed Report'!AU462/1.14</f>
        <v>0</v>
      </c>
      <c r="S466" s="110">
        <f>'Detailed Report'!AU462-'........... - Otlob'!R466</f>
        <v>0</v>
      </c>
    </row>
    <row r="467" spans="1:19" ht="14.45" customHeight="1" x14ac:dyDescent="0.25">
      <c r="A467" s="105">
        <f>+IF(B467="","",SUBTOTAL(3,B$8:B467))</f>
        <v>460</v>
      </c>
      <c r="B467" s="106" t="str">
        <f>'Detailed Report'!O463</f>
        <v>Fuddruckers - City Stars</v>
      </c>
      <c r="C467" s="107">
        <f>TRUNC('Detailed Report'!Q463,0)</f>
        <v>46038</v>
      </c>
      <c r="D467" s="108">
        <f>'Detailed Report'!P463</f>
        <v>3403603973</v>
      </c>
      <c r="E467" s="106" t="str">
        <f>'Detailed Report'!S463</f>
        <v>Successful</v>
      </c>
      <c r="F467" s="109">
        <f>IF(E467=$E$6,('Detailed Report'!Y463),IF(E467=$E$5,(0),0))</f>
        <v>684.99</v>
      </c>
      <c r="G467" s="106">
        <f>IF(E467=$E$6,('Detailed Report'!AQ463),IF(E467=$E$5,('Detailed Report'!AW463),0))</f>
        <v>600.86842000000001</v>
      </c>
      <c r="H467" s="106">
        <f>'Detailed Report'!AS463</f>
        <v>150.21710999999999</v>
      </c>
      <c r="I467" s="106">
        <f>'Detailed Report'!AT463</f>
        <v>21.0303954</v>
      </c>
      <c r="J467" s="106">
        <f>'Detailed Report'!AO463</f>
        <v>0</v>
      </c>
      <c r="K467" s="106">
        <f>'Detailed Report'!AP463</f>
        <v>0</v>
      </c>
      <c r="L467" s="106">
        <f>'Detailed Report'!AU463/1.14</f>
        <v>27.184210526315791</v>
      </c>
      <c r="M467" s="106">
        <f>'Detailed Report'!AU463-L467</f>
        <v>3.8057894736842073</v>
      </c>
      <c r="N467" s="110">
        <f>'Detailed Report'!AW463</f>
        <v>482.75200000000001</v>
      </c>
      <c r="O467" s="111">
        <f t="shared" si="53"/>
        <v>118.11642000000001</v>
      </c>
      <c r="P467" s="110">
        <f>'Detailed Report'!AM463</f>
        <v>0</v>
      </c>
      <c r="Q467" s="110">
        <f>'Detailed Report'!AN463</f>
        <v>0</v>
      </c>
      <c r="R467" s="110">
        <f>'Detailed Report'!AU463/1.14</f>
        <v>27.184210526315791</v>
      </c>
      <c r="S467" s="110">
        <f>'Detailed Report'!AU463-'........... - Otlob'!R467</f>
        <v>3.8057894736842073</v>
      </c>
    </row>
    <row r="468" spans="1:19" ht="14.45" customHeight="1" x14ac:dyDescent="0.25">
      <c r="A468" s="105">
        <f>+IF(B468="","",SUBTOTAL(3,B$8:B468))</f>
        <v>461</v>
      </c>
      <c r="B468" s="106" t="str">
        <f>'Detailed Report'!O464</f>
        <v>Fuddruckers - City Stars</v>
      </c>
      <c r="C468" s="107">
        <f>TRUNC('Detailed Report'!Q464,0)</f>
        <v>46038</v>
      </c>
      <c r="D468" s="108">
        <f>'Detailed Report'!P464</f>
        <v>3403611785</v>
      </c>
      <c r="E468" s="106" t="str">
        <f>'Detailed Report'!S464</f>
        <v>Successful</v>
      </c>
      <c r="F468" s="109">
        <f>IF(E468=$E$6,('Detailed Report'!Y464),IF(E468=$E$5,(0),0))</f>
        <v>269.99</v>
      </c>
      <c r="G468" s="106">
        <f>IF(E468=$E$6,('Detailed Report'!AQ464),IF(E468=$E$5,('Detailed Report'!AW464),0))</f>
        <v>236.83332999999999</v>
      </c>
      <c r="H468" s="106">
        <f>'Detailed Report'!AS464</f>
        <v>59.208329999999997</v>
      </c>
      <c r="I468" s="106">
        <f>'Detailed Report'!AT464</f>
        <v>8.2891662000000004</v>
      </c>
      <c r="J468" s="106">
        <f>'Detailed Report'!AO464</f>
        <v>4.7248250000000001</v>
      </c>
      <c r="K468" s="106">
        <f>'Detailed Report'!AP464</f>
        <v>0.66147549999999999</v>
      </c>
      <c r="L468" s="106">
        <f>'Detailed Report'!AU464/1.14</f>
        <v>25.42982456140351</v>
      </c>
      <c r="M468" s="106">
        <f>'Detailed Report'!AU464-L468</f>
        <v>3.5601754385964881</v>
      </c>
      <c r="N468" s="110">
        <f>'Detailed Report'!AW464</f>
        <v>168.11600000000001</v>
      </c>
      <c r="O468" s="111">
        <f t="shared" si="53"/>
        <v>68.717329999999976</v>
      </c>
      <c r="P468" s="110">
        <f>'Detailed Report'!AM464</f>
        <v>0</v>
      </c>
      <c r="Q468" s="110">
        <f>'Detailed Report'!AN464</f>
        <v>0</v>
      </c>
      <c r="R468" s="110">
        <f>'Detailed Report'!AU464/1.14</f>
        <v>25.42982456140351</v>
      </c>
      <c r="S468" s="110">
        <f>'Detailed Report'!AU464-'........... - Otlob'!R468</f>
        <v>3.5601754385964881</v>
      </c>
    </row>
    <row r="469" spans="1:19" ht="14.45" customHeight="1" x14ac:dyDescent="0.25">
      <c r="A469" s="105">
        <f>+IF(B469="","",SUBTOTAL(3,B$8:B469))</f>
        <v>462</v>
      </c>
      <c r="B469" s="106" t="str">
        <f>'Detailed Report'!O465</f>
        <v>Fuddruckers - Concord Plaza Mall</v>
      </c>
      <c r="C469" s="107">
        <f>TRUNC('Detailed Report'!Q465,0)</f>
        <v>46038</v>
      </c>
      <c r="D469" s="108">
        <f>'Detailed Report'!P465</f>
        <v>3403628786</v>
      </c>
      <c r="E469" s="106" t="str">
        <f>'Detailed Report'!S465</f>
        <v>Successful</v>
      </c>
      <c r="F469" s="109">
        <f>IF(E469=$E$6,('Detailed Report'!Y465),IF(E469=$E$5,(0),0))</f>
        <v>629.98</v>
      </c>
      <c r="G469" s="106">
        <f>IF(E469=$E$6,('Detailed Report'!AQ465),IF(E469=$E$5,('Detailed Report'!AW465),0))</f>
        <v>552.61404000000005</v>
      </c>
      <c r="H469" s="106">
        <f>'Detailed Report'!AS465</f>
        <v>138.15351000000001</v>
      </c>
      <c r="I469" s="106">
        <f>'Detailed Report'!AT465</f>
        <v>19.341491399999999</v>
      </c>
      <c r="J469" s="106">
        <f>'Detailed Report'!AO465</f>
        <v>11.024649999999999</v>
      </c>
      <c r="K469" s="106">
        <f>'Detailed Report'!AP465</f>
        <v>1.5434509999999999</v>
      </c>
      <c r="L469" s="106">
        <f>'Detailed Report'!AU465/1.14</f>
        <v>0</v>
      </c>
      <c r="M469" s="106">
        <f>'Detailed Report'!AU465-L469</f>
        <v>0</v>
      </c>
      <c r="N469" s="110">
        <f>'Detailed Report'!AW465</f>
        <v>425.71699999999998</v>
      </c>
      <c r="O469" s="111">
        <f t="shared" si="53"/>
        <v>126.89704000000006</v>
      </c>
      <c r="P469" s="110">
        <f>'Detailed Report'!AM465</f>
        <v>30</v>
      </c>
      <c r="Q469" s="110">
        <f>'Detailed Report'!AN465</f>
        <v>4.2</v>
      </c>
      <c r="R469" s="110">
        <f>'Detailed Report'!AU465/1.14</f>
        <v>0</v>
      </c>
      <c r="S469" s="110">
        <f>'Detailed Report'!AU465-'........... - Otlob'!R469</f>
        <v>0</v>
      </c>
    </row>
    <row r="470" spans="1:19" ht="14.45" customHeight="1" x14ac:dyDescent="0.25">
      <c r="A470" s="105">
        <f>+IF(B470="","",SUBTOTAL(3,B$8:B470))</f>
        <v>463</v>
      </c>
      <c r="B470" s="106" t="str">
        <f>'Detailed Report'!O466</f>
        <v>Fuddruckers - Concord Plaza Mall</v>
      </c>
      <c r="C470" s="107">
        <f>TRUNC('Detailed Report'!Q466,0)</f>
        <v>46038</v>
      </c>
      <c r="D470" s="108">
        <f>'Detailed Report'!P466</f>
        <v>3403648212</v>
      </c>
      <c r="E470" s="106" t="str">
        <f>'Detailed Report'!S466</f>
        <v>Successful</v>
      </c>
      <c r="F470" s="109">
        <f>IF(E470=$E$6,('Detailed Report'!Y466),IF(E470=$E$5,(0),0))</f>
        <v>983.98</v>
      </c>
      <c r="G470" s="106">
        <f>IF(E470=$E$6,('Detailed Report'!AQ466),IF(E470=$E$5,('Detailed Report'!AW466),0))</f>
        <v>863.14035000000001</v>
      </c>
      <c r="H470" s="106">
        <f>'Detailed Report'!AS466</f>
        <v>215.78509</v>
      </c>
      <c r="I470" s="106">
        <f>'Detailed Report'!AT466</f>
        <v>30.209912599999999</v>
      </c>
      <c r="J470" s="106">
        <f>'Detailed Report'!AO466</f>
        <v>17.219650000000001</v>
      </c>
      <c r="K470" s="106">
        <f>'Detailed Report'!AP466</f>
        <v>2.4107509999999999</v>
      </c>
      <c r="L470" s="106">
        <f>'Detailed Report'!AU466/1.14</f>
        <v>29.815789473684216</v>
      </c>
      <c r="M470" s="106">
        <f>'Detailed Report'!AU466-L470</f>
        <v>4.174210526315786</v>
      </c>
      <c r="N470" s="110">
        <f>'Detailed Report'!AW466</f>
        <v>684.36500000000001</v>
      </c>
      <c r="O470" s="111">
        <f t="shared" si="53"/>
        <v>178.77535</v>
      </c>
      <c r="P470" s="110">
        <f>'Detailed Report'!AM466</f>
        <v>0</v>
      </c>
      <c r="Q470" s="110">
        <f>'Detailed Report'!AN466</f>
        <v>0</v>
      </c>
      <c r="R470" s="110">
        <f>'Detailed Report'!AU466/1.14</f>
        <v>29.815789473684216</v>
      </c>
      <c r="S470" s="110">
        <f>'Detailed Report'!AU466-'........... - Otlob'!R470</f>
        <v>4.174210526315786</v>
      </c>
    </row>
    <row r="471" spans="1:19" ht="14.45" customHeight="1" x14ac:dyDescent="0.25">
      <c r="A471" s="105">
        <f>+IF(B471="","",SUBTOTAL(3,B$8:B471))</f>
        <v>464</v>
      </c>
      <c r="B471" s="106" t="str">
        <f>'Detailed Report'!O467</f>
        <v>Fuddruckers - Concord Plaza Mall</v>
      </c>
      <c r="C471" s="107">
        <f>TRUNC('Detailed Report'!Q467,0)</f>
        <v>46038</v>
      </c>
      <c r="D471" s="108">
        <f>'Detailed Report'!P467</f>
        <v>3403770023</v>
      </c>
      <c r="E471" s="106" t="str">
        <f>'Detailed Report'!S467</f>
        <v>Successful</v>
      </c>
      <c r="F471" s="109">
        <f>IF(E471=$E$6,('Detailed Report'!Y467),IF(E471=$E$5,(0),0))</f>
        <v>659.98</v>
      </c>
      <c r="G471" s="106">
        <f>IF(E471=$E$6,('Detailed Report'!AQ467),IF(E471=$E$5,('Detailed Report'!AW467),0))</f>
        <v>578.92981999999995</v>
      </c>
      <c r="H471" s="106">
        <f>'Detailed Report'!AS467</f>
        <v>144.73246</v>
      </c>
      <c r="I471" s="106">
        <f>'Detailed Report'!AT467</f>
        <v>20.262544399999999</v>
      </c>
      <c r="J471" s="106">
        <f>'Detailed Report'!AO467</f>
        <v>11.54965</v>
      </c>
      <c r="K471" s="106">
        <f>'Detailed Report'!AP467</f>
        <v>1.616951</v>
      </c>
      <c r="L471" s="106">
        <f>'Detailed Report'!AU467/1.14</f>
        <v>0</v>
      </c>
      <c r="M471" s="106">
        <f>'Detailed Report'!AU467-L471</f>
        <v>0</v>
      </c>
      <c r="N471" s="110">
        <f>'Detailed Report'!AW467</f>
        <v>481.81799999999998</v>
      </c>
      <c r="O471" s="111">
        <f t="shared" si="53"/>
        <v>97.111819999999966</v>
      </c>
      <c r="P471" s="110">
        <f>'Detailed Report'!AM467</f>
        <v>0</v>
      </c>
      <c r="Q471" s="110">
        <f>'Detailed Report'!AN467</f>
        <v>0</v>
      </c>
      <c r="R471" s="110">
        <f>'Detailed Report'!AU467/1.14</f>
        <v>0</v>
      </c>
      <c r="S471" s="110">
        <f>'Detailed Report'!AU467-'........... - Otlob'!R471</f>
        <v>0</v>
      </c>
    </row>
    <row r="472" spans="1:19" ht="14.45" customHeight="1" x14ac:dyDescent="0.25">
      <c r="A472" s="105">
        <f>+IF(B472="","",SUBTOTAL(3,B$8:B472))</f>
        <v>465</v>
      </c>
      <c r="B472" s="106" t="str">
        <f>'Detailed Report'!O468</f>
        <v>Fuddruckers - City Stars</v>
      </c>
      <c r="C472" s="107">
        <f>TRUNC('Detailed Report'!Q468,0)</f>
        <v>46039</v>
      </c>
      <c r="D472" s="108">
        <f>'Detailed Report'!P468</f>
        <v>3404350920</v>
      </c>
      <c r="E472" s="106" t="str">
        <f>'Detailed Report'!S468</f>
        <v>Successful</v>
      </c>
      <c r="F472" s="109">
        <f>IF(E472=$E$6,('Detailed Report'!Y468),IF(E472=$E$5,(0),0))</f>
        <v>441.99</v>
      </c>
      <c r="G472" s="106">
        <f>IF(E472=$E$6,('Detailed Report'!AQ468),IF(E472=$E$5,('Detailed Report'!AW468),0))</f>
        <v>387.71053000000001</v>
      </c>
      <c r="H472" s="106">
        <f>'Detailed Report'!AS468</f>
        <v>96.927629999999994</v>
      </c>
      <c r="I472" s="106">
        <f>'Detailed Report'!AT468</f>
        <v>13.5698682</v>
      </c>
      <c r="J472" s="106">
        <f>'Detailed Report'!AO468</f>
        <v>7.7348249999999998</v>
      </c>
      <c r="K472" s="106">
        <f>'Detailed Report'!AP468</f>
        <v>1.0828755000000001</v>
      </c>
      <c r="L472" s="106">
        <f>'Detailed Report'!AU468/1.14</f>
        <v>25.42982456140351</v>
      </c>
      <c r="M472" s="106">
        <f>'Detailed Report'!AU468-L472</f>
        <v>3.5601754385964881</v>
      </c>
      <c r="N472" s="110">
        <f>'Detailed Report'!AW468</f>
        <v>259.48500000000001</v>
      </c>
      <c r="O472" s="111">
        <f t="shared" si="53"/>
        <v>128.22552999999999</v>
      </c>
      <c r="P472" s="110">
        <f>'Detailed Report'!AM468</f>
        <v>30</v>
      </c>
      <c r="Q472" s="110">
        <f>'Detailed Report'!AN468</f>
        <v>4.2</v>
      </c>
      <c r="R472" s="110">
        <f>'Detailed Report'!AU468/1.14</f>
        <v>25.42982456140351</v>
      </c>
      <c r="S472" s="110">
        <f>'Detailed Report'!AU468-'........... - Otlob'!R472</f>
        <v>3.5601754385964881</v>
      </c>
    </row>
    <row r="473" spans="1:19" ht="14.45" customHeight="1" x14ac:dyDescent="0.25">
      <c r="A473" s="105">
        <f>+IF(B473="","",SUBTOTAL(3,B$8:B473))</f>
        <v>466</v>
      </c>
      <c r="B473" s="106" t="str">
        <f>'Detailed Report'!O469</f>
        <v>Fuddruckers - City Stars</v>
      </c>
      <c r="C473" s="107">
        <f>TRUNC('Detailed Report'!Q469,0)</f>
        <v>46039</v>
      </c>
      <c r="D473" s="108">
        <f>'Detailed Report'!P469</f>
        <v>3404365521</v>
      </c>
      <c r="E473" s="106" t="str">
        <f>'Detailed Report'!S469</f>
        <v>Successful</v>
      </c>
      <c r="F473" s="109">
        <f>IF(E473=$E$6,('Detailed Report'!Y469),IF(E473=$E$5,(0),0))</f>
        <v>541.98</v>
      </c>
      <c r="G473" s="106">
        <f>IF(E473=$E$6,('Detailed Report'!AQ469),IF(E473=$E$5,('Detailed Report'!AW469),0))</f>
        <v>475.42104999999998</v>
      </c>
      <c r="H473" s="106">
        <f>'Detailed Report'!AS469</f>
        <v>118.85526</v>
      </c>
      <c r="I473" s="106">
        <f>'Detailed Report'!AT469</f>
        <v>16.6397364</v>
      </c>
      <c r="J473" s="106">
        <f>'Detailed Report'!AO469</f>
        <v>0</v>
      </c>
      <c r="K473" s="106">
        <f>'Detailed Report'!AP469</f>
        <v>0</v>
      </c>
      <c r="L473" s="106">
        <f>'Detailed Report'!AU469/1.14</f>
        <v>0</v>
      </c>
      <c r="M473" s="106">
        <f>'Detailed Report'!AU469-L473</f>
        <v>0</v>
      </c>
      <c r="N473" s="110">
        <f>'Detailed Report'!AW469</f>
        <v>406.48500000000001</v>
      </c>
      <c r="O473" s="111">
        <f t="shared" si="53"/>
        <v>68.936049999999966</v>
      </c>
      <c r="P473" s="110">
        <f>'Detailed Report'!AM469</f>
        <v>0</v>
      </c>
      <c r="Q473" s="110">
        <f>'Detailed Report'!AN469</f>
        <v>0</v>
      </c>
      <c r="R473" s="110">
        <f>'Detailed Report'!AU469/1.14</f>
        <v>0</v>
      </c>
      <c r="S473" s="110">
        <f>'Detailed Report'!AU469-'........... - Otlob'!R473</f>
        <v>0</v>
      </c>
    </row>
    <row r="474" spans="1:19" ht="14.45" customHeight="1" x14ac:dyDescent="0.25">
      <c r="A474" s="105">
        <f>+IF(B474="","",SUBTOTAL(3,B$8:B474))</f>
        <v>467</v>
      </c>
      <c r="B474" s="106" t="str">
        <f>'Detailed Report'!O470</f>
        <v>Fuddruckers - Concord Plaza Mall</v>
      </c>
      <c r="C474" s="107">
        <f>TRUNC('Detailed Report'!Q470,0)</f>
        <v>46039</v>
      </c>
      <c r="D474" s="108">
        <f>'Detailed Report'!P470</f>
        <v>3404403361</v>
      </c>
      <c r="E474" s="106" t="str">
        <f>'Detailed Report'!S470</f>
        <v>Successful</v>
      </c>
      <c r="F474" s="109">
        <f>IF(E474=$E$6,('Detailed Report'!Y470),IF(E474=$E$5,(0),0))</f>
        <v>784.65</v>
      </c>
      <c r="G474" s="106">
        <f>IF(E474=$E$6,('Detailed Report'!AQ470),IF(E474=$E$5,('Detailed Report'!AW470),0))</f>
        <v>688.28947000000005</v>
      </c>
      <c r="H474" s="106">
        <f>'Detailed Report'!AS470</f>
        <v>172.07237000000001</v>
      </c>
      <c r="I474" s="106">
        <f>'Detailed Report'!AT470</f>
        <v>24.090131800000002</v>
      </c>
      <c r="J474" s="106">
        <f>'Detailed Report'!AO470</f>
        <v>13.731375</v>
      </c>
      <c r="K474" s="106">
        <f>'Detailed Report'!AP470</f>
        <v>1.9223924999999999</v>
      </c>
      <c r="L474" s="106">
        <f>'Detailed Report'!AU470/1.14</f>
        <v>0</v>
      </c>
      <c r="M474" s="106">
        <f>'Detailed Report'!AU470-L474</f>
        <v>0</v>
      </c>
      <c r="N474" s="110">
        <f>'Detailed Report'!AW470</f>
        <v>572.83399999999995</v>
      </c>
      <c r="O474" s="111">
        <f t="shared" si="53"/>
        <v>115.4554700000001</v>
      </c>
      <c r="P474" s="110">
        <f>'Detailed Report'!AM470</f>
        <v>0</v>
      </c>
      <c r="Q474" s="110">
        <f>'Detailed Report'!AN470</f>
        <v>0</v>
      </c>
      <c r="R474" s="110">
        <f>'Detailed Report'!AU470/1.14</f>
        <v>0</v>
      </c>
      <c r="S474" s="110">
        <f>'Detailed Report'!AU470-'........... - Otlob'!R474</f>
        <v>0</v>
      </c>
    </row>
    <row r="475" spans="1:19" ht="14.45" customHeight="1" x14ac:dyDescent="0.25">
      <c r="A475" s="105">
        <f>+IF(B475="","",SUBTOTAL(3,B$8:B475))</f>
        <v>468</v>
      </c>
      <c r="B475" s="106" t="str">
        <f>'Detailed Report'!O471</f>
        <v>Fuddruckers - New Maadi</v>
      </c>
      <c r="C475" s="107">
        <f>TRUNC('Detailed Report'!Q471,0)</f>
        <v>46039</v>
      </c>
      <c r="D475" s="108">
        <f>'Detailed Report'!P471</f>
        <v>3404414475</v>
      </c>
      <c r="E475" s="106" t="str">
        <f>'Detailed Report'!S471</f>
        <v>Successful</v>
      </c>
      <c r="F475" s="109">
        <f>IF(E475=$E$6,('Detailed Report'!Y471),IF(E475=$E$5,(0),0))</f>
        <v>237.99</v>
      </c>
      <c r="G475" s="106">
        <f>IF(E475=$E$6,('Detailed Report'!AQ471),IF(E475=$E$5,('Detailed Report'!AW471),0))</f>
        <v>208.76316</v>
      </c>
      <c r="H475" s="106">
        <f>'Detailed Report'!AS471</f>
        <v>52.19079</v>
      </c>
      <c r="I475" s="106">
        <f>'Detailed Report'!AT471</f>
        <v>7.3067105999999997</v>
      </c>
      <c r="J475" s="106">
        <f>'Detailed Report'!AO471</f>
        <v>0</v>
      </c>
      <c r="K475" s="106">
        <f>'Detailed Report'!AP471</f>
        <v>0</v>
      </c>
      <c r="L475" s="106">
        <f>'Detailed Report'!AU471/1.14</f>
        <v>0</v>
      </c>
      <c r="M475" s="106">
        <f>'Detailed Report'!AU471-L475</f>
        <v>0</v>
      </c>
      <c r="N475" s="110">
        <f>'Detailed Report'!AW471</f>
        <v>178.49199999999999</v>
      </c>
      <c r="O475" s="111">
        <f t="shared" si="53"/>
        <v>30.271160000000009</v>
      </c>
      <c r="P475" s="110">
        <f>'Detailed Report'!AM471</f>
        <v>0</v>
      </c>
      <c r="Q475" s="110">
        <f>'Detailed Report'!AN471</f>
        <v>0</v>
      </c>
      <c r="R475" s="110">
        <f>'Detailed Report'!AU471/1.14</f>
        <v>0</v>
      </c>
      <c r="S475" s="110">
        <f>'Detailed Report'!AU471-'........... - Otlob'!R475</f>
        <v>0</v>
      </c>
    </row>
    <row r="476" spans="1:19" ht="14.45" customHeight="1" x14ac:dyDescent="0.25">
      <c r="A476" s="105">
        <f>+IF(B476="","",SUBTOTAL(3,B$8:B476))</f>
        <v>469</v>
      </c>
      <c r="B476" s="106" t="str">
        <f>'Detailed Report'!O472</f>
        <v>Fuddruckers - New Maadi</v>
      </c>
      <c r="C476" s="107">
        <f>TRUNC('Detailed Report'!Q472,0)</f>
        <v>46039</v>
      </c>
      <c r="D476" s="108">
        <f>'Detailed Report'!P472</f>
        <v>3404470205</v>
      </c>
      <c r="E476" s="106" t="str">
        <f>'Detailed Report'!S472</f>
        <v>Successful</v>
      </c>
      <c r="F476" s="109">
        <f>IF(E476=$E$6,('Detailed Report'!Y472),IF(E476=$E$5,(0),0))</f>
        <v>499.98</v>
      </c>
      <c r="G476" s="106">
        <f>IF(E476=$E$6,('Detailed Report'!AQ472),IF(E476=$E$5,('Detailed Report'!AW472),0))</f>
        <v>438.57895000000002</v>
      </c>
      <c r="H476" s="106">
        <f>'Detailed Report'!AS472</f>
        <v>109.64474</v>
      </c>
      <c r="I476" s="106">
        <f>'Detailed Report'!AT472</f>
        <v>15.3502636</v>
      </c>
      <c r="J476" s="106">
        <f>'Detailed Report'!AO472</f>
        <v>0</v>
      </c>
      <c r="K476" s="106">
        <f>'Detailed Report'!AP472</f>
        <v>0</v>
      </c>
      <c r="L476" s="106">
        <f>'Detailed Report'!AU472/1.14</f>
        <v>0</v>
      </c>
      <c r="M476" s="106">
        <f>'Detailed Report'!AU472-L476</f>
        <v>0</v>
      </c>
      <c r="N476" s="110">
        <f>'Detailed Report'!AW472</f>
        <v>374.98500000000001</v>
      </c>
      <c r="O476" s="111">
        <f t="shared" si="53"/>
        <v>63.593950000000007</v>
      </c>
      <c r="P476" s="110">
        <f>'Detailed Report'!AM472</f>
        <v>0</v>
      </c>
      <c r="Q476" s="110">
        <f>'Detailed Report'!AN472</f>
        <v>0</v>
      </c>
      <c r="R476" s="110">
        <f>'Detailed Report'!AU472/1.14</f>
        <v>0</v>
      </c>
      <c r="S476" s="110">
        <f>'Detailed Report'!AU472-'........... - Otlob'!R476</f>
        <v>0</v>
      </c>
    </row>
    <row r="477" spans="1:19" ht="14.45" customHeight="1" x14ac:dyDescent="0.25">
      <c r="A477" s="105">
        <f>+IF(B477="","",SUBTOTAL(3,B$8:B477))</f>
        <v>470</v>
      </c>
      <c r="B477" s="106" t="str">
        <f>'Detailed Report'!O473</f>
        <v>Fuddruckers - New Maadi</v>
      </c>
      <c r="C477" s="107">
        <f>TRUNC('Detailed Report'!Q473,0)</f>
        <v>46039</v>
      </c>
      <c r="D477" s="108">
        <f>'Detailed Report'!P473</f>
        <v>3404488257</v>
      </c>
      <c r="E477" s="106" t="str">
        <f>'Detailed Report'!S473</f>
        <v>Successful</v>
      </c>
      <c r="F477" s="109">
        <f>IF(E477=$E$6,('Detailed Report'!Y473),IF(E477=$E$5,(0),0))</f>
        <v>682.18</v>
      </c>
      <c r="G477" s="106">
        <f>IF(E477=$E$6,('Detailed Report'!AQ473),IF(E477=$E$5,('Detailed Report'!AW473),0))</f>
        <v>598.40350999999998</v>
      </c>
      <c r="H477" s="106">
        <f>'Detailed Report'!AS473</f>
        <v>149.60087999999999</v>
      </c>
      <c r="I477" s="106">
        <f>'Detailed Report'!AT473</f>
        <v>20.9441232</v>
      </c>
      <c r="J477" s="106">
        <f>'Detailed Report'!AO473</f>
        <v>11.93815</v>
      </c>
      <c r="K477" s="106">
        <f>'Detailed Report'!AP473</f>
        <v>1.671341</v>
      </c>
      <c r="L477" s="106">
        <f>'Detailed Report'!AU473/1.14</f>
        <v>0</v>
      </c>
      <c r="M477" s="106">
        <f>'Detailed Report'!AU473-L477</f>
        <v>0</v>
      </c>
      <c r="N477" s="110">
        <f>'Detailed Report'!AW473</f>
        <v>498.02600000000001</v>
      </c>
      <c r="O477" s="111">
        <f t="shared" si="53"/>
        <v>100.37750999999997</v>
      </c>
      <c r="P477" s="110">
        <f>'Detailed Report'!AM473</f>
        <v>0</v>
      </c>
      <c r="Q477" s="110">
        <f>'Detailed Report'!AN473</f>
        <v>0</v>
      </c>
      <c r="R477" s="110">
        <f>'Detailed Report'!AU473/1.14</f>
        <v>0</v>
      </c>
      <c r="S477" s="110">
        <f>'Detailed Report'!AU473-'........... - Otlob'!R477</f>
        <v>0</v>
      </c>
    </row>
    <row r="478" spans="1:19" ht="14.45" customHeight="1" x14ac:dyDescent="0.25">
      <c r="A478" s="105">
        <f>+IF(B478="","",SUBTOTAL(3,B$8:B478))</f>
        <v>471</v>
      </c>
      <c r="B478" s="106" t="str">
        <f>'Detailed Report'!O474</f>
        <v>Fuddruckers - Concord Plaza Mall</v>
      </c>
      <c r="C478" s="107">
        <f>TRUNC('Detailed Report'!Q474,0)</f>
        <v>46039</v>
      </c>
      <c r="D478" s="108">
        <f>'Detailed Report'!P474</f>
        <v>3404535936</v>
      </c>
      <c r="E478" s="106" t="str">
        <f>'Detailed Report'!S474</f>
        <v>Successful</v>
      </c>
      <c r="F478" s="109">
        <f>IF(E478=$E$6,('Detailed Report'!Y474),IF(E478=$E$5,(0),0))</f>
        <v>329.99</v>
      </c>
      <c r="G478" s="106">
        <f>IF(E478=$E$6,('Detailed Report'!AQ474),IF(E478=$E$5,('Detailed Report'!AW474),0))</f>
        <v>289.46490999999997</v>
      </c>
      <c r="H478" s="106">
        <f>'Detailed Report'!AS474</f>
        <v>72.366230000000002</v>
      </c>
      <c r="I478" s="106">
        <f>'Detailed Report'!AT474</f>
        <v>10.1312722</v>
      </c>
      <c r="J478" s="106">
        <f>'Detailed Report'!AO474</f>
        <v>0</v>
      </c>
      <c r="K478" s="106">
        <f>'Detailed Report'!AP474</f>
        <v>0</v>
      </c>
      <c r="L478" s="106">
        <f>'Detailed Report'!AU474/1.14</f>
        <v>0</v>
      </c>
      <c r="M478" s="106">
        <f>'Detailed Report'!AU474-L478</f>
        <v>0</v>
      </c>
      <c r="N478" s="110">
        <f>'Detailed Report'!AW474</f>
        <v>247.49199999999999</v>
      </c>
      <c r="O478" s="111">
        <f t="shared" si="53"/>
        <v>41.972909999999985</v>
      </c>
      <c r="P478" s="110">
        <f>'Detailed Report'!AM474</f>
        <v>0</v>
      </c>
      <c r="Q478" s="110">
        <f>'Detailed Report'!AN474</f>
        <v>0</v>
      </c>
      <c r="R478" s="110">
        <f>'Detailed Report'!AU474/1.14</f>
        <v>0</v>
      </c>
      <c r="S478" s="110">
        <f>'Detailed Report'!AU474-'........... - Otlob'!R478</f>
        <v>0</v>
      </c>
    </row>
    <row r="479" spans="1:19" ht="14.45" customHeight="1" x14ac:dyDescent="0.25">
      <c r="A479" s="105">
        <f>+IF(B479="","",SUBTOTAL(3,B$8:B479))</f>
        <v>472</v>
      </c>
      <c r="B479" s="106" t="str">
        <f>'Detailed Report'!O475</f>
        <v>Fuddruckers - Concord Plaza Mall</v>
      </c>
      <c r="C479" s="107">
        <f>TRUNC('Detailed Report'!Q475,0)</f>
        <v>46039</v>
      </c>
      <c r="D479" s="108">
        <f>'Detailed Report'!P475</f>
        <v>3404553447</v>
      </c>
      <c r="E479" s="106" t="str">
        <f>'Detailed Report'!S475</f>
        <v>Successful</v>
      </c>
      <c r="F479" s="109">
        <f>IF(E479=$E$6,('Detailed Report'!Y475),IF(E479=$E$5,(0),0))</f>
        <v>693.65</v>
      </c>
      <c r="G479" s="106">
        <f>IF(E479=$E$6,('Detailed Report'!AQ475),IF(E479=$E$5,('Detailed Report'!AW475),0))</f>
        <v>608.46491000000003</v>
      </c>
      <c r="H479" s="106">
        <f>'Detailed Report'!AS475</f>
        <v>152.11623</v>
      </c>
      <c r="I479" s="106">
        <f>'Detailed Report'!AT475</f>
        <v>21.296272200000001</v>
      </c>
      <c r="J479" s="106">
        <f>'Detailed Report'!AO475</f>
        <v>12.138875000000001</v>
      </c>
      <c r="K479" s="106">
        <f>'Detailed Report'!AP475</f>
        <v>1.6994425</v>
      </c>
      <c r="L479" s="106">
        <f>'Detailed Report'!AU475/1.14</f>
        <v>27.184210526315791</v>
      </c>
      <c r="M479" s="106">
        <f>'Detailed Report'!AU475-L479</f>
        <v>3.8057894736842073</v>
      </c>
      <c r="N479" s="110">
        <f>'Detailed Report'!AW475</f>
        <v>475.40899999999999</v>
      </c>
      <c r="O479" s="111">
        <f t="shared" si="53"/>
        <v>133.05591000000004</v>
      </c>
      <c r="P479" s="110">
        <f>'Detailed Report'!AM475</f>
        <v>0</v>
      </c>
      <c r="Q479" s="110">
        <f>'Detailed Report'!AN475</f>
        <v>0</v>
      </c>
      <c r="R479" s="110">
        <f>'Detailed Report'!AU475/1.14</f>
        <v>27.184210526315791</v>
      </c>
      <c r="S479" s="110">
        <f>'Detailed Report'!AU475-'........... - Otlob'!R479</f>
        <v>3.8057894736842073</v>
      </c>
    </row>
    <row r="480" spans="1:19" ht="14.45" customHeight="1" x14ac:dyDescent="0.25">
      <c r="A480" s="105">
        <f>+IF(B480="","",SUBTOTAL(3,B$8:B480))</f>
        <v>473</v>
      </c>
      <c r="B480" s="106" t="str">
        <f>'Detailed Report'!O476</f>
        <v>Fuddruckers - City Stars</v>
      </c>
      <c r="C480" s="107">
        <f>TRUNC('Detailed Report'!Q476,0)</f>
        <v>46039</v>
      </c>
      <c r="D480" s="108">
        <f>'Detailed Report'!P476</f>
        <v>3404576420</v>
      </c>
      <c r="E480" s="106" t="str">
        <f>'Detailed Report'!S476</f>
        <v>Successful</v>
      </c>
      <c r="F480" s="109">
        <f>IF(E480=$E$6,('Detailed Report'!Y476),IF(E480=$E$5,(0),0))</f>
        <v>950.66</v>
      </c>
      <c r="G480" s="106">
        <f>IF(E480=$E$6,('Detailed Report'!AQ476),IF(E480=$E$5,('Detailed Report'!AW476),0))</f>
        <v>833.91228000000001</v>
      </c>
      <c r="H480" s="106">
        <f>'Detailed Report'!AS476</f>
        <v>208.47807</v>
      </c>
      <c r="I480" s="106">
        <f>'Detailed Report'!AT476</f>
        <v>29.186929800000001</v>
      </c>
      <c r="J480" s="106">
        <f>'Detailed Report'!AO476</f>
        <v>16.63655</v>
      </c>
      <c r="K480" s="106">
        <f>'Detailed Report'!AP476</f>
        <v>2.3291170000000001</v>
      </c>
      <c r="L480" s="106">
        <f>'Detailed Report'!AU476/1.14</f>
        <v>0</v>
      </c>
      <c r="M480" s="106">
        <f>'Detailed Report'!AU476-L480</f>
        <v>0</v>
      </c>
      <c r="N480" s="110">
        <f>'Detailed Report'!AW476</f>
        <v>659.82899999999995</v>
      </c>
      <c r="O480" s="111">
        <f t="shared" si="53"/>
        <v>174.08328000000006</v>
      </c>
      <c r="P480" s="110">
        <f>'Detailed Report'!AM476</f>
        <v>30</v>
      </c>
      <c r="Q480" s="110">
        <f>'Detailed Report'!AN476</f>
        <v>4.2</v>
      </c>
      <c r="R480" s="110">
        <f>'Detailed Report'!AU476/1.14</f>
        <v>0</v>
      </c>
      <c r="S480" s="110">
        <f>'Detailed Report'!AU476-'........... - Otlob'!R480</f>
        <v>0</v>
      </c>
    </row>
    <row r="481" spans="1:19" ht="14.45" customHeight="1" x14ac:dyDescent="0.25">
      <c r="A481" s="105">
        <f>+IF(B481="","",SUBTOTAL(3,B$8:B481))</f>
        <v>474</v>
      </c>
      <c r="B481" s="106" t="str">
        <f>'Detailed Report'!O477</f>
        <v>Fuddruckers - Concord Plaza Mall</v>
      </c>
      <c r="C481" s="107">
        <f>TRUNC('Detailed Report'!Q477,0)</f>
        <v>46039</v>
      </c>
      <c r="D481" s="108">
        <f>'Detailed Report'!P477</f>
        <v>3404656550</v>
      </c>
      <c r="E481" s="106" t="str">
        <f>'Detailed Report'!S477</f>
        <v>Successful</v>
      </c>
      <c r="F481" s="109">
        <f>IF(E481=$E$6,('Detailed Report'!Y477),IF(E481=$E$5,(0),0))</f>
        <v>1939.77</v>
      </c>
      <c r="G481" s="106">
        <f>IF(E481=$E$6,('Detailed Report'!AQ477),IF(E481=$E$5,('Detailed Report'!AW477),0))</f>
        <v>1701.5526299999999</v>
      </c>
      <c r="H481" s="106">
        <f>'Detailed Report'!AS477</f>
        <v>425.38816000000003</v>
      </c>
      <c r="I481" s="106">
        <f>'Detailed Report'!AT477</f>
        <v>59.554342400000003</v>
      </c>
      <c r="J481" s="106">
        <f>'Detailed Report'!AO477</f>
        <v>0</v>
      </c>
      <c r="K481" s="106">
        <f>'Detailed Report'!AP477</f>
        <v>0</v>
      </c>
      <c r="L481" s="106">
        <f>'Detailed Report'!AU477/1.14</f>
        <v>0</v>
      </c>
      <c r="M481" s="106">
        <f>'Detailed Report'!AU477-L481</f>
        <v>0</v>
      </c>
      <c r="N481" s="110">
        <f>'Detailed Report'!AW477</f>
        <v>1454.827</v>
      </c>
      <c r="O481" s="111">
        <f t="shared" si="53"/>
        <v>246.72562999999991</v>
      </c>
      <c r="P481" s="110">
        <f>'Detailed Report'!AM477</f>
        <v>0</v>
      </c>
      <c r="Q481" s="110">
        <f>'Detailed Report'!AN477</f>
        <v>0</v>
      </c>
      <c r="R481" s="110">
        <f>'Detailed Report'!AU477/1.14</f>
        <v>0</v>
      </c>
      <c r="S481" s="110">
        <f>'Detailed Report'!AU477-'........... - Otlob'!R481</f>
        <v>0</v>
      </c>
    </row>
    <row r="482" spans="1:19" ht="14.45" customHeight="1" x14ac:dyDescent="0.25">
      <c r="A482" s="105">
        <f>+IF(B482="","",SUBTOTAL(3,B$8:B482))</f>
        <v>475</v>
      </c>
      <c r="B482" s="106" t="str">
        <f>'Detailed Report'!O478</f>
        <v>Fuddruckers - Concord Plaza Mall</v>
      </c>
      <c r="C482" s="107">
        <f>TRUNC('Detailed Report'!Q478,0)</f>
        <v>46039</v>
      </c>
      <c r="D482" s="108">
        <f>'Detailed Report'!P478</f>
        <v>3404659530</v>
      </c>
      <c r="E482" s="106" t="str">
        <f>'Detailed Report'!S478</f>
        <v>Successful</v>
      </c>
      <c r="F482" s="109">
        <f>IF(E482=$E$6,('Detailed Report'!Y478),IF(E482=$E$5,(0),0))</f>
        <v>509.98</v>
      </c>
      <c r="G482" s="106">
        <f>IF(E482=$E$6,('Detailed Report'!AQ478),IF(E482=$E$5,('Detailed Report'!AW478),0))</f>
        <v>447.35088000000002</v>
      </c>
      <c r="H482" s="106">
        <f>'Detailed Report'!AS478</f>
        <v>111.83772</v>
      </c>
      <c r="I482" s="106">
        <f>'Detailed Report'!AT478</f>
        <v>15.657280800000001</v>
      </c>
      <c r="J482" s="106">
        <f>'Detailed Report'!AO478</f>
        <v>8.9246499999999997</v>
      </c>
      <c r="K482" s="106">
        <f>'Detailed Report'!AP478</f>
        <v>1.2494510000000001</v>
      </c>
      <c r="L482" s="106">
        <f>'Detailed Report'!AU478/1.14</f>
        <v>27.184210526315791</v>
      </c>
      <c r="M482" s="106">
        <f>'Detailed Report'!AU478-L482</f>
        <v>3.8057894736842073</v>
      </c>
      <c r="N482" s="110">
        <f>'Detailed Report'!AW478</f>
        <v>307.12099999999998</v>
      </c>
      <c r="O482" s="111">
        <f t="shared" si="53"/>
        <v>140.22988000000004</v>
      </c>
      <c r="P482" s="110">
        <f>'Detailed Report'!AM478</f>
        <v>30</v>
      </c>
      <c r="Q482" s="110">
        <f>'Detailed Report'!AN478</f>
        <v>4.2</v>
      </c>
      <c r="R482" s="110">
        <f>'Detailed Report'!AU478/1.14</f>
        <v>27.184210526315791</v>
      </c>
      <c r="S482" s="110">
        <f>'Detailed Report'!AU478-'........... - Otlob'!R482</f>
        <v>3.8057894736842073</v>
      </c>
    </row>
    <row r="483" spans="1:19" ht="14.45" customHeight="1" x14ac:dyDescent="0.25">
      <c r="A483" s="105">
        <f>+IF(B483="","",SUBTOTAL(3,B$8:B483))</f>
        <v>476</v>
      </c>
      <c r="B483" s="106" t="str">
        <f>'Detailed Report'!O479</f>
        <v>Fuddruckers - Concord Plaza Mall</v>
      </c>
      <c r="C483" s="107">
        <f>TRUNC('Detailed Report'!Q479,0)</f>
        <v>46039</v>
      </c>
      <c r="D483" s="108">
        <f>'Detailed Report'!P479</f>
        <v>3404666161</v>
      </c>
      <c r="E483" s="106" t="str">
        <f>'Detailed Report'!S479</f>
        <v>Successful</v>
      </c>
      <c r="F483" s="109">
        <f>IF(E483=$E$6,('Detailed Report'!Y479),IF(E483=$E$5,(0),0))</f>
        <v>1354.21</v>
      </c>
      <c r="G483" s="106">
        <f>IF(E483=$E$6,('Detailed Report'!AQ479),IF(E483=$E$5,('Detailed Report'!AW479),0))</f>
        <v>1187.9035100000001</v>
      </c>
      <c r="H483" s="106">
        <f>'Detailed Report'!AS479</f>
        <v>296.97588000000002</v>
      </c>
      <c r="I483" s="106">
        <f>'Detailed Report'!AT479</f>
        <v>41.5766232</v>
      </c>
      <c r="J483" s="106">
        <f>'Detailed Report'!AO479</f>
        <v>23.698673249999999</v>
      </c>
      <c r="K483" s="106">
        <f>'Detailed Report'!AP479</f>
        <v>3.317814255</v>
      </c>
      <c r="L483" s="106">
        <f>'Detailed Report'!AU479/1.14</f>
        <v>0</v>
      </c>
      <c r="M483" s="106">
        <f>'Detailed Report'!AU479-L483</f>
        <v>0</v>
      </c>
      <c r="N483" s="110">
        <f>'Detailed Report'!AW479</f>
        <v>988.64099999999996</v>
      </c>
      <c r="O483" s="111">
        <f t="shared" si="53"/>
        <v>199.26251000000013</v>
      </c>
      <c r="P483" s="110">
        <f>'Detailed Report'!AM479</f>
        <v>0</v>
      </c>
      <c r="Q483" s="110">
        <f>'Detailed Report'!AN479</f>
        <v>0</v>
      </c>
      <c r="R483" s="110">
        <f>'Detailed Report'!AU479/1.14</f>
        <v>0</v>
      </c>
      <c r="S483" s="110">
        <f>'Detailed Report'!AU479-'........... - Otlob'!R483</f>
        <v>0</v>
      </c>
    </row>
    <row r="484" spans="1:19" ht="14.45" customHeight="1" x14ac:dyDescent="0.25">
      <c r="A484" s="105">
        <f>+IF(B484="","",SUBTOTAL(3,B$8:B484))</f>
        <v>477</v>
      </c>
      <c r="B484" s="106" t="str">
        <f>'Detailed Report'!O480</f>
        <v>Fuddruckers - Concord Plaza Mall</v>
      </c>
      <c r="C484" s="107">
        <f>TRUNC('Detailed Report'!Q480,0)</f>
        <v>46039</v>
      </c>
      <c r="D484" s="108">
        <f>'Detailed Report'!P480</f>
        <v>3404762043</v>
      </c>
      <c r="E484" s="106" t="str">
        <f>'Detailed Report'!S480</f>
        <v>Successful</v>
      </c>
      <c r="F484" s="109">
        <f>IF(E484=$E$6,('Detailed Report'!Y480),IF(E484=$E$5,(0),0))</f>
        <v>859.98</v>
      </c>
      <c r="G484" s="106">
        <f>IF(E484=$E$6,('Detailed Report'!AQ480),IF(E484=$E$5,('Detailed Report'!AW480),0))</f>
        <v>754.36842000000001</v>
      </c>
      <c r="H484" s="106">
        <f>'Detailed Report'!AS480</f>
        <v>188.59210999999999</v>
      </c>
      <c r="I484" s="106">
        <f>'Detailed Report'!AT480</f>
        <v>26.402895399999998</v>
      </c>
      <c r="J484" s="106">
        <f>'Detailed Report'!AO480</f>
        <v>15.04965</v>
      </c>
      <c r="K484" s="106">
        <f>'Detailed Report'!AP480</f>
        <v>2.106951</v>
      </c>
      <c r="L484" s="106">
        <f>'Detailed Report'!AU480/1.14</f>
        <v>28.938596491228076</v>
      </c>
      <c r="M484" s="106">
        <f>'Detailed Report'!AU480-L484</f>
        <v>4.0514035087719265</v>
      </c>
      <c r="N484" s="110">
        <f>'Detailed Report'!AW480</f>
        <v>594.83799999999997</v>
      </c>
      <c r="O484" s="111">
        <f t="shared" si="53"/>
        <v>159.53042000000005</v>
      </c>
      <c r="P484" s="110">
        <f>'Detailed Report'!AM480</f>
        <v>0</v>
      </c>
      <c r="Q484" s="110">
        <f>'Detailed Report'!AN480</f>
        <v>0</v>
      </c>
      <c r="R484" s="110">
        <f>'Detailed Report'!AU480/1.14</f>
        <v>28.938596491228076</v>
      </c>
      <c r="S484" s="110">
        <f>'Detailed Report'!AU480-'........... - Otlob'!R484</f>
        <v>4.0514035087719265</v>
      </c>
    </row>
    <row r="485" spans="1:19" ht="14.45" customHeight="1" x14ac:dyDescent="0.25">
      <c r="A485" s="105">
        <f>+IF(B485="","",SUBTOTAL(3,B$8:B485))</f>
        <v>478</v>
      </c>
      <c r="B485" s="106" t="str">
        <f>'Detailed Report'!O481</f>
        <v>Fuddruckers - New Maadi</v>
      </c>
      <c r="C485" s="107">
        <f>TRUNC('Detailed Report'!Q481,0)</f>
        <v>46039</v>
      </c>
      <c r="D485" s="108">
        <f>'Detailed Report'!P481</f>
        <v>3404790698</v>
      </c>
      <c r="E485" s="106" t="str">
        <f>'Detailed Report'!S481</f>
        <v>Successful</v>
      </c>
      <c r="F485" s="109">
        <f>IF(E485=$E$6,('Detailed Report'!Y481),IF(E485=$E$5,(0),0))</f>
        <v>245.99</v>
      </c>
      <c r="G485" s="106">
        <f>IF(E485=$E$6,('Detailed Report'!AQ481),IF(E485=$E$5,('Detailed Report'!AW481),0))</f>
        <v>215.7807</v>
      </c>
      <c r="H485" s="106">
        <f>'Detailed Report'!AS481</f>
        <v>53.945180000000001</v>
      </c>
      <c r="I485" s="106">
        <f>'Detailed Report'!AT481</f>
        <v>7.5523252000000003</v>
      </c>
      <c r="J485" s="106">
        <f>'Detailed Report'!AO481</f>
        <v>4.3048250000000001</v>
      </c>
      <c r="K485" s="106">
        <f>'Detailed Report'!AP481</f>
        <v>0.60267550000000003</v>
      </c>
      <c r="L485" s="106">
        <f>'Detailed Report'!AU481/1.14</f>
        <v>25.42982456140351</v>
      </c>
      <c r="M485" s="106">
        <f>'Detailed Report'!AU481-L485</f>
        <v>3.5601754385964881</v>
      </c>
      <c r="N485" s="110">
        <f>'Detailed Report'!AW481</f>
        <v>150.595</v>
      </c>
      <c r="O485" s="111">
        <f t="shared" si="53"/>
        <v>65.185699999999997</v>
      </c>
      <c r="P485" s="110">
        <f>'Detailed Report'!AM481</f>
        <v>0</v>
      </c>
      <c r="Q485" s="110">
        <f>'Detailed Report'!AN481</f>
        <v>0</v>
      </c>
      <c r="R485" s="110">
        <f>'Detailed Report'!AU481/1.14</f>
        <v>25.42982456140351</v>
      </c>
      <c r="S485" s="110">
        <f>'Detailed Report'!AU481-'........... - Otlob'!R485</f>
        <v>3.5601754385964881</v>
      </c>
    </row>
    <row r="486" spans="1:19" ht="14.45" customHeight="1" x14ac:dyDescent="0.25">
      <c r="A486" s="105">
        <f>+IF(B486="","",SUBTOTAL(3,B$8:B486))</f>
        <v>479</v>
      </c>
      <c r="B486" s="106" t="str">
        <f>'Detailed Report'!O482</f>
        <v>Fuddruckers - New Maadi</v>
      </c>
      <c r="C486" s="107">
        <f>TRUNC('Detailed Report'!Q482,0)</f>
        <v>46039</v>
      </c>
      <c r="D486" s="108">
        <f>'Detailed Report'!P482</f>
        <v>3404803030</v>
      </c>
      <c r="E486" s="106" t="str">
        <f>'Detailed Report'!S482</f>
        <v>Successful</v>
      </c>
      <c r="F486" s="109">
        <f>IF(E486=$E$6,('Detailed Report'!Y482),IF(E486=$E$5,(0),0))</f>
        <v>392.63</v>
      </c>
      <c r="G486" s="106">
        <f>IF(E486=$E$6,('Detailed Report'!AQ482),IF(E486=$E$5,('Detailed Report'!AW482),0))</f>
        <v>344.41228000000001</v>
      </c>
      <c r="H486" s="106">
        <f>'Detailed Report'!AS482</f>
        <v>86.103070000000002</v>
      </c>
      <c r="I486" s="106">
        <f>'Detailed Report'!AT482</f>
        <v>12.054429799999999</v>
      </c>
      <c r="J486" s="106">
        <f>'Detailed Report'!AO482</f>
        <v>0</v>
      </c>
      <c r="K486" s="106">
        <f>'Detailed Report'!AP482</f>
        <v>0</v>
      </c>
      <c r="L486" s="106">
        <f>'Detailed Report'!AU482/1.14</f>
        <v>23.67543859649123</v>
      </c>
      <c r="M486" s="106">
        <f>'Detailed Report'!AU482-L486</f>
        <v>3.3145614035087689</v>
      </c>
      <c r="N486" s="110">
        <f>'Detailed Report'!AW482</f>
        <v>233.28299999999999</v>
      </c>
      <c r="O486" s="111">
        <f t="shared" si="53"/>
        <v>111.12928000000002</v>
      </c>
      <c r="P486" s="110">
        <f>'Detailed Report'!AM482</f>
        <v>30</v>
      </c>
      <c r="Q486" s="110">
        <f>'Detailed Report'!AN482</f>
        <v>4.2</v>
      </c>
      <c r="R486" s="110">
        <f>'Detailed Report'!AU482/1.14</f>
        <v>23.67543859649123</v>
      </c>
      <c r="S486" s="110">
        <f>'Detailed Report'!AU482-'........... - Otlob'!R486</f>
        <v>3.3145614035087689</v>
      </c>
    </row>
    <row r="487" spans="1:19" ht="14.45" customHeight="1" x14ac:dyDescent="0.25">
      <c r="A487" s="105">
        <f>+IF(B487="","",SUBTOTAL(3,B$8:B487))</f>
        <v>480</v>
      </c>
      <c r="B487" s="106" t="str">
        <f>'Detailed Report'!O483</f>
        <v>Fuddruckers - New Maadi</v>
      </c>
      <c r="C487" s="107">
        <f>TRUNC('Detailed Report'!Q483,0)</f>
        <v>46039</v>
      </c>
      <c r="D487" s="108">
        <f>'Detailed Report'!P483</f>
        <v>3404836480</v>
      </c>
      <c r="E487" s="106" t="str">
        <f>'Detailed Report'!S483</f>
        <v>Successful</v>
      </c>
      <c r="F487" s="109">
        <f>IF(E487=$E$6,('Detailed Report'!Y483),IF(E487=$E$5,(0),0))</f>
        <v>791.97</v>
      </c>
      <c r="G487" s="106">
        <f>IF(E487=$E$6,('Detailed Report'!AQ483),IF(E487=$E$5,('Detailed Report'!AW483),0))</f>
        <v>694.71052999999995</v>
      </c>
      <c r="H487" s="106">
        <f>'Detailed Report'!AS483</f>
        <v>173.67762999999999</v>
      </c>
      <c r="I487" s="106">
        <f>'Detailed Report'!AT483</f>
        <v>24.314868199999999</v>
      </c>
      <c r="J487" s="106">
        <f>'Detailed Report'!AO483</f>
        <v>13.859475</v>
      </c>
      <c r="K487" s="106">
        <f>'Detailed Report'!AP483</f>
        <v>1.9403265000000001</v>
      </c>
      <c r="L487" s="106">
        <f>'Detailed Report'!AU483/1.14</f>
        <v>26.307017543859651</v>
      </c>
      <c r="M487" s="106">
        <f>'Detailed Report'!AU483-L487</f>
        <v>3.6829824561403477</v>
      </c>
      <c r="N487" s="110">
        <f>'Detailed Report'!AW483</f>
        <v>548.18799999999999</v>
      </c>
      <c r="O487" s="111">
        <f t="shared" si="53"/>
        <v>146.52252999999996</v>
      </c>
      <c r="P487" s="110">
        <f>'Detailed Report'!AM483</f>
        <v>0</v>
      </c>
      <c r="Q487" s="110">
        <f>'Detailed Report'!AN483</f>
        <v>0</v>
      </c>
      <c r="R487" s="110">
        <f>'Detailed Report'!AU483/1.14</f>
        <v>26.307017543859651</v>
      </c>
      <c r="S487" s="110">
        <f>'Detailed Report'!AU483-'........... - Otlob'!R487</f>
        <v>3.6829824561403477</v>
      </c>
    </row>
    <row r="488" spans="1:19" ht="14.45" customHeight="1" x14ac:dyDescent="0.25">
      <c r="A488" s="105">
        <f>+IF(B488="","",SUBTOTAL(3,B$8:B488))</f>
        <v>481</v>
      </c>
      <c r="B488" s="106" t="str">
        <f>'Detailed Report'!O484</f>
        <v>Fuddruckers - New Maadi</v>
      </c>
      <c r="C488" s="107">
        <f>TRUNC('Detailed Report'!Q484,0)</f>
        <v>46039</v>
      </c>
      <c r="D488" s="108">
        <f>'Detailed Report'!P484</f>
        <v>3404840197</v>
      </c>
      <c r="E488" s="106" t="str">
        <f>'Detailed Report'!S484</f>
        <v>Successful</v>
      </c>
      <c r="F488" s="109">
        <f>IF(E488=$E$6,('Detailed Report'!Y484),IF(E488=$E$5,(0),0))</f>
        <v>1132.25</v>
      </c>
      <c r="G488" s="106">
        <f>IF(E488=$E$6,('Detailed Report'!AQ484),IF(E488=$E$5,('Detailed Report'!AW484),0))</f>
        <v>993.20174999999995</v>
      </c>
      <c r="H488" s="106">
        <f>'Detailed Report'!AS484</f>
        <v>248.30044000000001</v>
      </c>
      <c r="I488" s="106">
        <f>'Detailed Report'!AT484</f>
        <v>34.762061600000003</v>
      </c>
      <c r="J488" s="106">
        <f>'Detailed Report'!AO484</f>
        <v>19.814374999999998</v>
      </c>
      <c r="K488" s="106">
        <f>'Detailed Report'!AP484</f>
        <v>2.7740125</v>
      </c>
      <c r="L488" s="106">
        <f>'Detailed Report'!AU484/1.14</f>
        <v>0</v>
      </c>
      <c r="M488" s="106">
        <f>'Detailed Report'!AU484-L488</f>
        <v>0</v>
      </c>
      <c r="N488" s="110">
        <f>'Detailed Report'!AW484</f>
        <v>826.59900000000005</v>
      </c>
      <c r="O488" s="111">
        <f t="shared" si="53"/>
        <v>166.6027499999999</v>
      </c>
      <c r="P488" s="110">
        <f>'Detailed Report'!AM484</f>
        <v>0</v>
      </c>
      <c r="Q488" s="110">
        <f>'Detailed Report'!AN484</f>
        <v>0</v>
      </c>
      <c r="R488" s="110">
        <f>'Detailed Report'!AU484/1.14</f>
        <v>0</v>
      </c>
      <c r="S488" s="110">
        <f>'Detailed Report'!AU484-'........... - Otlob'!R488</f>
        <v>0</v>
      </c>
    </row>
    <row r="489" spans="1:19" ht="14.45" customHeight="1" x14ac:dyDescent="0.25">
      <c r="A489" s="105">
        <f>+IF(B489="","",SUBTOTAL(3,B$8:B489))</f>
        <v>482</v>
      </c>
      <c r="B489" s="106" t="str">
        <f>'Detailed Report'!O485</f>
        <v>Fuddruckers - Concord Plaza Mall</v>
      </c>
      <c r="C489" s="107">
        <f>TRUNC('Detailed Report'!Q485,0)</f>
        <v>46039</v>
      </c>
      <c r="D489" s="108">
        <f>'Detailed Report'!P485</f>
        <v>3404843761</v>
      </c>
      <c r="E489" s="106" t="str">
        <f>'Detailed Report'!S485</f>
        <v>Successful</v>
      </c>
      <c r="F489" s="109">
        <f>IF(E489=$E$6,('Detailed Report'!Y485),IF(E489=$E$5,(0),0))</f>
        <v>639.99</v>
      </c>
      <c r="G489" s="106">
        <f>IF(E489=$E$6,('Detailed Report'!AQ485),IF(E489=$E$5,('Detailed Report'!AW485),0))</f>
        <v>561.39473999999996</v>
      </c>
      <c r="H489" s="106">
        <f>'Detailed Report'!AS485</f>
        <v>140.34869</v>
      </c>
      <c r="I489" s="106">
        <f>'Detailed Report'!AT485</f>
        <v>19.6488166</v>
      </c>
      <c r="J489" s="106">
        <f>'Detailed Report'!AO485</f>
        <v>11.199825000000001</v>
      </c>
      <c r="K489" s="106">
        <f>'Detailed Report'!AP485</f>
        <v>1.5679755</v>
      </c>
      <c r="L489" s="106">
        <f>'Detailed Report'!AU485/1.14</f>
        <v>0</v>
      </c>
      <c r="M489" s="106">
        <f>'Detailed Report'!AU485-L489</f>
        <v>0</v>
      </c>
      <c r="N489" s="110">
        <f>'Detailed Report'!AW485</f>
        <v>433.02499999999998</v>
      </c>
      <c r="O489" s="111">
        <f t="shared" si="53"/>
        <v>128.36973999999998</v>
      </c>
      <c r="P489" s="110">
        <f>'Detailed Report'!AM485</f>
        <v>30</v>
      </c>
      <c r="Q489" s="110">
        <f>'Detailed Report'!AN485</f>
        <v>4.2</v>
      </c>
      <c r="R489" s="110">
        <f>'Detailed Report'!AU485/1.14</f>
        <v>0</v>
      </c>
      <c r="S489" s="110">
        <f>'Detailed Report'!AU485-'........... - Otlob'!R489</f>
        <v>0</v>
      </c>
    </row>
    <row r="490" spans="1:19" ht="14.45" customHeight="1" x14ac:dyDescent="0.25">
      <c r="A490" s="105">
        <f>+IF(B490="","",SUBTOTAL(3,B$8:B490))</f>
        <v>483</v>
      </c>
      <c r="B490" s="106" t="str">
        <f>'Detailed Report'!O486</f>
        <v>Fuddruckers - Concord Plaza Mall</v>
      </c>
      <c r="C490" s="107">
        <f>TRUNC('Detailed Report'!Q486,0)</f>
        <v>46039</v>
      </c>
      <c r="D490" s="108">
        <f>'Detailed Report'!P486</f>
        <v>3404845038</v>
      </c>
      <c r="E490" s="106" t="str">
        <f>'Detailed Report'!S486</f>
        <v>Successful</v>
      </c>
      <c r="F490" s="109">
        <f>IF(E490=$E$6,('Detailed Report'!Y486),IF(E490=$E$5,(0),0))</f>
        <v>2073.5100000000002</v>
      </c>
      <c r="G490" s="106">
        <f>IF(E490=$E$6,('Detailed Report'!AQ486),IF(E490=$E$5,('Detailed Report'!AW486),0))</f>
        <v>1818.86842</v>
      </c>
      <c r="H490" s="106">
        <f>'Detailed Report'!AS486</f>
        <v>454.71710999999999</v>
      </c>
      <c r="I490" s="106">
        <f>'Detailed Report'!AT486</f>
        <v>63.660395399999999</v>
      </c>
      <c r="J490" s="106">
        <f>'Detailed Report'!AO486</f>
        <v>36.286425000000001</v>
      </c>
      <c r="K490" s="106">
        <f>'Detailed Report'!AP486</f>
        <v>5.0800995000000002</v>
      </c>
      <c r="L490" s="106">
        <f>'Detailed Report'!AU486/1.14</f>
        <v>29.815789473684216</v>
      </c>
      <c r="M490" s="106">
        <f>'Detailed Report'!AU486-L490</f>
        <v>4.174210526315786</v>
      </c>
      <c r="N490" s="110">
        <f>'Detailed Report'!AW486</f>
        <v>1479.7760000000001</v>
      </c>
      <c r="O490" s="111">
        <f t="shared" si="53"/>
        <v>339.09241999999995</v>
      </c>
      <c r="P490" s="110">
        <f>'Detailed Report'!AM486</f>
        <v>0</v>
      </c>
      <c r="Q490" s="110">
        <f>'Detailed Report'!AN486</f>
        <v>0</v>
      </c>
      <c r="R490" s="110">
        <f>'Detailed Report'!AU486/1.14</f>
        <v>29.815789473684216</v>
      </c>
      <c r="S490" s="110">
        <f>'Detailed Report'!AU486-'........... - Otlob'!R490</f>
        <v>4.174210526315786</v>
      </c>
    </row>
    <row r="491" spans="1:19" ht="14.45" customHeight="1" x14ac:dyDescent="0.25">
      <c r="A491" s="105">
        <f>+IF(B491="","",SUBTOTAL(3,B$8:B491))</f>
        <v>484</v>
      </c>
      <c r="B491" s="106" t="str">
        <f>'Detailed Report'!O487</f>
        <v>Fuddruckers - New Maadi</v>
      </c>
      <c r="C491" s="107">
        <f>TRUNC('Detailed Report'!Q487,0)</f>
        <v>46039</v>
      </c>
      <c r="D491" s="108">
        <f>'Detailed Report'!P487</f>
        <v>3404978390</v>
      </c>
      <c r="E491" s="106" t="str">
        <f>'Detailed Report'!S487</f>
        <v>Successful</v>
      </c>
      <c r="F491" s="109">
        <f>IF(E491=$E$6,('Detailed Report'!Y487),IF(E491=$E$5,(0),0))</f>
        <v>117.86</v>
      </c>
      <c r="G491" s="106">
        <f>IF(E491=$E$6,('Detailed Report'!AQ487),IF(E491=$E$5,('Detailed Report'!AW487),0))</f>
        <v>103.38596</v>
      </c>
      <c r="H491" s="106">
        <f>'Detailed Report'!AS487</f>
        <v>25.846489999999999</v>
      </c>
      <c r="I491" s="106">
        <f>'Detailed Report'!AT487</f>
        <v>3.6185086000000002</v>
      </c>
      <c r="J491" s="106">
        <f>'Detailed Report'!AO487</f>
        <v>2.0625499999999999</v>
      </c>
      <c r="K491" s="106">
        <f>'Detailed Report'!AP487</f>
        <v>0.28875699999999999</v>
      </c>
      <c r="L491" s="106">
        <f>'Detailed Report'!AU487/1.14</f>
        <v>0</v>
      </c>
      <c r="M491" s="106">
        <f>'Detailed Report'!AU487-L491</f>
        <v>0</v>
      </c>
      <c r="N491" s="110">
        <f>'Detailed Report'!AW487</f>
        <v>86.043999999999997</v>
      </c>
      <c r="O491" s="111">
        <f t="shared" si="53"/>
        <v>17.34196</v>
      </c>
      <c r="P491" s="110">
        <f>'Detailed Report'!AM487</f>
        <v>0</v>
      </c>
      <c r="Q491" s="110">
        <f>'Detailed Report'!AN487</f>
        <v>0</v>
      </c>
      <c r="R491" s="110">
        <f>'Detailed Report'!AU487/1.14</f>
        <v>0</v>
      </c>
      <c r="S491" s="110">
        <f>'Detailed Report'!AU487-'........... - Otlob'!R491</f>
        <v>0</v>
      </c>
    </row>
    <row r="492" spans="1:19" ht="14.45" customHeight="1" x14ac:dyDescent="0.25">
      <c r="A492" s="105">
        <f>+IF(B492="","",SUBTOTAL(3,B$8:B492))</f>
        <v>485</v>
      </c>
      <c r="B492" s="106" t="str">
        <f>'Detailed Report'!O488</f>
        <v>Fuddruckers - New Maadi</v>
      </c>
      <c r="C492" s="107">
        <f>TRUNC('Detailed Report'!Q488,0)</f>
        <v>46039</v>
      </c>
      <c r="D492" s="108">
        <f>'Detailed Report'!P488</f>
        <v>3405002627</v>
      </c>
      <c r="E492" s="106" t="str">
        <f>'Detailed Report'!S488</f>
        <v>Successful</v>
      </c>
      <c r="F492" s="109">
        <f>IF(E492=$E$6,('Detailed Report'!Y488),IF(E492=$E$5,(0),0))</f>
        <v>1010</v>
      </c>
      <c r="G492" s="106">
        <f>IF(E492=$E$6,('Detailed Report'!AQ488),IF(E492=$E$5,('Detailed Report'!AW488),0))</f>
        <v>885.96491000000003</v>
      </c>
      <c r="H492" s="106">
        <f>'Detailed Report'!AS488</f>
        <v>221.49123</v>
      </c>
      <c r="I492" s="106">
        <f>'Detailed Report'!AT488</f>
        <v>31.008772199999999</v>
      </c>
      <c r="J492" s="106">
        <f>'Detailed Report'!AO488</f>
        <v>0</v>
      </c>
      <c r="K492" s="106">
        <f>'Detailed Report'!AP488</f>
        <v>0</v>
      </c>
      <c r="L492" s="106">
        <f>'Detailed Report'!AU488/1.14</f>
        <v>0</v>
      </c>
      <c r="M492" s="106">
        <f>'Detailed Report'!AU488-L492</f>
        <v>0</v>
      </c>
      <c r="N492" s="110">
        <f>'Detailed Report'!AW488</f>
        <v>757.5</v>
      </c>
      <c r="O492" s="111">
        <f t="shared" si="53"/>
        <v>128.46491000000003</v>
      </c>
      <c r="P492" s="110">
        <f>'Detailed Report'!AM488</f>
        <v>0</v>
      </c>
      <c r="Q492" s="110">
        <f>'Detailed Report'!AN488</f>
        <v>0</v>
      </c>
      <c r="R492" s="110">
        <f>'Detailed Report'!AU488/1.14</f>
        <v>0</v>
      </c>
      <c r="S492" s="110">
        <f>'Detailed Report'!AU488-'........... - Otlob'!R492</f>
        <v>0</v>
      </c>
    </row>
    <row r="493" spans="1:19" ht="14.45" customHeight="1" x14ac:dyDescent="0.25">
      <c r="A493" s="105">
        <f>+IF(B493="","",SUBTOTAL(3,B$8:B493))</f>
        <v>486</v>
      </c>
      <c r="B493" s="106" t="str">
        <f>'Detailed Report'!O489</f>
        <v>Fuddruckers - Concord Plaza Mall</v>
      </c>
      <c r="C493" s="107">
        <f>TRUNC('Detailed Report'!Q489,0)</f>
        <v>46039</v>
      </c>
      <c r="D493" s="108">
        <f>'Detailed Report'!P489</f>
        <v>3405003145</v>
      </c>
      <c r="E493" s="106" t="str">
        <f>'Detailed Report'!S489</f>
        <v>Successful</v>
      </c>
      <c r="F493" s="109">
        <f>IF(E493=$E$6,('Detailed Report'!Y489),IF(E493=$E$5,(0),0))</f>
        <v>353.99</v>
      </c>
      <c r="G493" s="106">
        <f>IF(E493=$E$6,('Detailed Report'!AQ489),IF(E493=$E$5,('Detailed Report'!AW489),0))</f>
        <v>310.51754</v>
      </c>
      <c r="H493" s="106">
        <f>'Detailed Report'!AS489</f>
        <v>77.629390000000001</v>
      </c>
      <c r="I493" s="106">
        <f>'Detailed Report'!AT489</f>
        <v>10.8681146</v>
      </c>
      <c r="J493" s="106">
        <f>'Detailed Report'!AO489</f>
        <v>6.1948249999999998</v>
      </c>
      <c r="K493" s="106">
        <f>'Detailed Report'!AP489</f>
        <v>0.86727549999999998</v>
      </c>
      <c r="L493" s="106">
        <f>'Detailed Report'!AU489/1.14</f>
        <v>28.061403508771932</v>
      </c>
      <c r="M493" s="106">
        <f>'Detailed Report'!AU489-L493</f>
        <v>3.9285964912280669</v>
      </c>
      <c r="N493" s="110">
        <f>'Detailed Report'!AW489</f>
        <v>226.44</v>
      </c>
      <c r="O493" s="111">
        <f t="shared" si="53"/>
        <v>84.077539999999999</v>
      </c>
      <c r="P493" s="110">
        <f>'Detailed Report'!AM489</f>
        <v>0</v>
      </c>
      <c r="Q493" s="110">
        <f>'Detailed Report'!AN489</f>
        <v>0</v>
      </c>
      <c r="R493" s="110">
        <f>'Detailed Report'!AU489/1.14</f>
        <v>28.061403508771932</v>
      </c>
      <c r="S493" s="110">
        <f>'Detailed Report'!AU489-'........... - Otlob'!R493</f>
        <v>3.9285964912280669</v>
      </c>
    </row>
    <row r="494" spans="1:19" ht="14.45" customHeight="1" x14ac:dyDescent="0.25">
      <c r="A494" s="105">
        <f>+IF(B494="","",SUBTOTAL(3,B$8:B494))</f>
        <v>487</v>
      </c>
      <c r="B494" s="106" t="str">
        <f>'Detailed Report'!O490</f>
        <v>Fuddruckers - New Maadi</v>
      </c>
      <c r="C494" s="107">
        <f>TRUNC('Detailed Report'!Q490,0)</f>
        <v>46039</v>
      </c>
      <c r="D494" s="108">
        <f>'Detailed Report'!P490</f>
        <v>3405008976</v>
      </c>
      <c r="E494" s="106" t="str">
        <f>'Detailed Report'!S490</f>
        <v>Successful</v>
      </c>
      <c r="F494" s="109">
        <f>IF(E494=$E$6,('Detailed Report'!Y490),IF(E494=$E$5,(0),0))</f>
        <v>551.98</v>
      </c>
      <c r="G494" s="106">
        <f>IF(E494=$E$6,('Detailed Report'!AQ490),IF(E494=$E$5,('Detailed Report'!AW490),0))</f>
        <v>484.19297999999998</v>
      </c>
      <c r="H494" s="106">
        <f>'Detailed Report'!AS490</f>
        <v>121.04825</v>
      </c>
      <c r="I494" s="106">
        <f>'Detailed Report'!AT490</f>
        <v>16.946755</v>
      </c>
      <c r="J494" s="106">
        <f>'Detailed Report'!AO490</f>
        <v>9.6596499999999992</v>
      </c>
      <c r="K494" s="106">
        <f>'Detailed Report'!AP490</f>
        <v>1.3523510000000001</v>
      </c>
      <c r="L494" s="106">
        <f>'Detailed Report'!AU490/1.14</f>
        <v>23.67543859649123</v>
      </c>
      <c r="M494" s="106">
        <f>'Detailed Report'!AU490-L494</f>
        <v>3.3145614035087689</v>
      </c>
      <c r="N494" s="110">
        <f>'Detailed Report'!AW490</f>
        <v>375.983</v>
      </c>
      <c r="O494" s="111">
        <f t="shared" si="53"/>
        <v>108.20997999999997</v>
      </c>
      <c r="P494" s="110">
        <f>'Detailed Report'!AM490</f>
        <v>0</v>
      </c>
      <c r="Q494" s="110">
        <f>'Detailed Report'!AN490</f>
        <v>0</v>
      </c>
      <c r="R494" s="110">
        <f>'Detailed Report'!AU490/1.14</f>
        <v>23.67543859649123</v>
      </c>
      <c r="S494" s="110">
        <f>'Detailed Report'!AU490-'........... - Otlob'!R494</f>
        <v>3.3145614035087689</v>
      </c>
    </row>
    <row r="495" spans="1:19" ht="14.45" customHeight="1" x14ac:dyDescent="0.25">
      <c r="A495" s="105">
        <f>+IF(B495="","",SUBTOTAL(3,B$8:B495))</f>
        <v>488</v>
      </c>
      <c r="B495" s="106" t="str">
        <f>'Detailed Report'!O491</f>
        <v>Fuddruckers - New Maadi</v>
      </c>
      <c r="C495" s="107">
        <f>TRUNC('Detailed Report'!Q491,0)</f>
        <v>46039</v>
      </c>
      <c r="D495" s="108">
        <f>'Detailed Report'!P491</f>
        <v>3405011996</v>
      </c>
      <c r="E495" s="106" t="str">
        <f>'Detailed Report'!S491</f>
        <v>Successful</v>
      </c>
      <c r="F495" s="109">
        <f>IF(E495=$E$6,('Detailed Report'!Y491),IF(E495=$E$5,(0),0))</f>
        <v>353.99</v>
      </c>
      <c r="G495" s="106">
        <f>IF(E495=$E$6,('Detailed Report'!AQ491),IF(E495=$E$5,('Detailed Report'!AW491),0))</f>
        <v>310.51754</v>
      </c>
      <c r="H495" s="106">
        <f>'Detailed Report'!AS491</f>
        <v>77.629390000000001</v>
      </c>
      <c r="I495" s="106">
        <f>'Detailed Report'!AT491</f>
        <v>10.8681146</v>
      </c>
      <c r="J495" s="106">
        <f>'Detailed Report'!AO491</f>
        <v>6.1948249999999998</v>
      </c>
      <c r="K495" s="106">
        <f>'Detailed Report'!AP491</f>
        <v>0.86727549999999998</v>
      </c>
      <c r="L495" s="106">
        <f>'Detailed Report'!AU491/1.14</f>
        <v>26.307017543859651</v>
      </c>
      <c r="M495" s="106">
        <f>'Detailed Report'!AU491-L495</f>
        <v>3.6829824561403477</v>
      </c>
      <c r="N495" s="110">
        <f>'Detailed Report'!AW491</f>
        <v>228.44</v>
      </c>
      <c r="O495" s="111">
        <f t="shared" si="53"/>
        <v>82.077539999999999</v>
      </c>
      <c r="P495" s="110">
        <f>'Detailed Report'!AM491</f>
        <v>0</v>
      </c>
      <c r="Q495" s="110">
        <f>'Detailed Report'!AN491</f>
        <v>0</v>
      </c>
      <c r="R495" s="110">
        <f>'Detailed Report'!AU491/1.14</f>
        <v>26.307017543859651</v>
      </c>
      <c r="S495" s="110">
        <f>'Detailed Report'!AU491-'........... - Otlob'!R495</f>
        <v>3.6829824561403477</v>
      </c>
    </row>
    <row r="496" spans="1:19" ht="14.45" customHeight="1" x14ac:dyDescent="0.25">
      <c r="A496" s="105">
        <f>+IF(B496="","",SUBTOTAL(3,B$8:B496))</f>
        <v>489</v>
      </c>
      <c r="B496" s="106" t="str">
        <f>'Detailed Report'!O492</f>
        <v>Fuddruckers - Concord Plaza Mall</v>
      </c>
      <c r="C496" s="107">
        <f>TRUNC('Detailed Report'!Q492,0)</f>
        <v>46039</v>
      </c>
      <c r="D496" s="108">
        <f>'Detailed Report'!P492</f>
        <v>3405055239</v>
      </c>
      <c r="E496" s="106" t="str">
        <f>'Detailed Report'!S492</f>
        <v>Successful</v>
      </c>
      <c r="F496" s="109">
        <f>IF(E496=$E$6,('Detailed Report'!Y492),IF(E496=$E$5,(0),0))</f>
        <v>453.92</v>
      </c>
      <c r="G496" s="106">
        <f>IF(E496=$E$6,('Detailed Report'!AQ492),IF(E496=$E$5,('Detailed Report'!AW492),0))</f>
        <v>398.17543999999998</v>
      </c>
      <c r="H496" s="106">
        <f>'Detailed Report'!AS492</f>
        <v>99.543859999999995</v>
      </c>
      <c r="I496" s="106">
        <f>'Detailed Report'!AT492</f>
        <v>13.936140399999999</v>
      </c>
      <c r="J496" s="106">
        <f>'Detailed Report'!AO492</f>
        <v>7.9436</v>
      </c>
      <c r="K496" s="106">
        <f>'Detailed Report'!AP492</f>
        <v>1.112104</v>
      </c>
      <c r="L496" s="106">
        <f>'Detailed Report'!AU492/1.14</f>
        <v>28.061403508771932</v>
      </c>
      <c r="M496" s="106">
        <f>'Detailed Report'!AU492-L496</f>
        <v>3.9285964912280669</v>
      </c>
      <c r="N496" s="110">
        <f>'Detailed Report'!AW492</f>
        <v>299.39400000000001</v>
      </c>
      <c r="O496" s="111">
        <f t="shared" si="53"/>
        <v>98.781439999999975</v>
      </c>
      <c r="P496" s="110">
        <f>'Detailed Report'!AM492</f>
        <v>0</v>
      </c>
      <c r="Q496" s="110">
        <f>'Detailed Report'!AN492</f>
        <v>0</v>
      </c>
      <c r="R496" s="110">
        <f>'Detailed Report'!AU492/1.14</f>
        <v>28.061403508771932</v>
      </c>
      <c r="S496" s="110">
        <f>'Detailed Report'!AU492-'........... - Otlob'!R496</f>
        <v>3.9285964912280669</v>
      </c>
    </row>
    <row r="497" spans="1:19" ht="14.45" customHeight="1" x14ac:dyDescent="0.25">
      <c r="A497" s="105">
        <f>+IF(B497="","",SUBTOTAL(3,B$8:B497))</f>
        <v>490</v>
      </c>
      <c r="B497" s="106" t="str">
        <f>'Detailed Report'!O493</f>
        <v>Fuddruckers - Concord Plaza Mall</v>
      </c>
      <c r="C497" s="107">
        <f>TRUNC('Detailed Report'!Q493,0)</f>
        <v>46039</v>
      </c>
      <c r="D497" s="108">
        <f>'Detailed Report'!P493</f>
        <v>3405085859</v>
      </c>
      <c r="E497" s="106" t="str">
        <f>'Detailed Report'!S493</f>
        <v>Successful</v>
      </c>
      <c r="F497" s="109">
        <f>IF(E497=$E$6,('Detailed Report'!Y493),IF(E497=$E$5,(0),0))</f>
        <v>363.99</v>
      </c>
      <c r="G497" s="106">
        <f>IF(E497=$E$6,('Detailed Report'!AQ493),IF(E497=$E$5,('Detailed Report'!AW493),0))</f>
        <v>319.28946999999999</v>
      </c>
      <c r="H497" s="106">
        <f>'Detailed Report'!AS493</f>
        <v>79.822370000000006</v>
      </c>
      <c r="I497" s="106">
        <f>'Detailed Report'!AT493</f>
        <v>11.175131800000001</v>
      </c>
      <c r="J497" s="106">
        <f>'Detailed Report'!AO493</f>
        <v>6.3698249999999996</v>
      </c>
      <c r="K497" s="106">
        <f>'Detailed Report'!AP493</f>
        <v>0.89177550000000005</v>
      </c>
      <c r="L497" s="106">
        <f>'Detailed Report'!AU493/1.14</f>
        <v>28.061403508771932</v>
      </c>
      <c r="M497" s="106">
        <f>'Detailed Report'!AU493-L497</f>
        <v>3.9285964912280669</v>
      </c>
      <c r="N497" s="110">
        <f>'Detailed Report'!AW493</f>
        <v>233.74100000000001</v>
      </c>
      <c r="O497" s="111">
        <f t="shared" si="53"/>
        <v>85.54846999999998</v>
      </c>
      <c r="P497" s="110">
        <f>'Detailed Report'!AM493</f>
        <v>0</v>
      </c>
      <c r="Q497" s="110">
        <f>'Detailed Report'!AN493</f>
        <v>0</v>
      </c>
      <c r="R497" s="110">
        <f>'Detailed Report'!AU493/1.14</f>
        <v>28.061403508771932</v>
      </c>
      <c r="S497" s="110">
        <f>'Detailed Report'!AU493-'........... - Otlob'!R497</f>
        <v>3.9285964912280669</v>
      </c>
    </row>
    <row r="498" spans="1:19" ht="14.45" customHeight="1" x14ac:dyDescent="0.25">
      <c r="A498" s="105">
        <f>+IF(B498="","",SUBTOTAL(3,B$8:B498))</f>
        <v>491</v>
      </c>
      <c r="B498" s="106" t="str">
        <f>'Detailed Report'!O494</f>
        <v>Fuddruckers - City Stars</v>
      </c>
      <c r="C498" s="107">
        <f>TRUNC('Detailed Report'!Q494,0)</f>
        <v>46039</v>
      </c>
      <c r="D498" s="108">
        <f>'Detailed Report'!P494</f>
        <v>3405106663</v>
      </c>
      <c r="E498" s="106" t="str">
        <f>'Detailed Report'!S494</f>
        <v>Successful</v>
      </c>
      <c r="F498" s="109">
        <f>IF(E498=$E$6,('Detailed Report'!Y494),IF(E498=$E$5,(0),0))</f>
        <v>562.98</v>
      </c>
      <c r="G498" s="106">
        <f>IF(E498=$E$6,('Detailed Report'!AQ494),IF(E498=$E$5,('Detailed Report'!AW494),0))</f>
        <v>493.84210999999999</v>
      </c>
      <c r="H498" s="106">
        <f>'Detailed Report'!AS494</f>
        <v>123.46053000000001</v>
      </c>
      <c r="I498" s="106">
        <f>'Detailed Report'!AT494</f>
        <v>17.284474199999998</v>
      </c>
      <c r="J498" s="106">
        <f>'Detailed Report'!AO494</f>
        <v>0</v>
      </c>
      <c r="K498" s="106">
        <f>'Detailed Report'!AP494</f>
        <v>0</v>
      </c>
      <c r="L498" s="106">
        <f>'Detailed Report'!AU494/1.14</f>
        <v>26.307017543859651</v>
      </c>
      <c r="M498" s="106">
        <f>'Detailed Report'!AU494-L498</f>
        <v>3.6829824561403477</v>
      </c>
      <c r="N498" s="110">
        <f>'Detailed Report'!AW494</f>
        <v>392.245</v>
      </c>
      <c r="O498" s="111">
        <f t="shared" si="53"/>
        <v>101.59710999999999</v>
      </c>
      <c r="P498" s="110">
        <f>'Detailed Report'!AM494</f>
        <v>0</v>
      </c>
      <c r="Q498" s="110">
        <f>'Detailed Report'!AN494</f>
        <v>0</v>
      </c>
      <c r="R498" s="110">
        <f>'Detailed Report'!AU494/1.14</f>
        <v>26.307017543859651</v>
      </c>
      <c r="S498" s="110">
        <f>'Detailed Report'!AU494-'........... - Otlob'!R498</f>
        <v>3.6829824561403477</v>
      </c>
    </row>
    <row r="499" spans="1:19" ht="14.45" customHeight="1" x14ac:dyDescent="0.25">
      <c r="A499" s="105">
        <f>+IF(B499="","",SUBTOTAL(3,B$8:B499))</f>
        <v>492</v>
      </c>
      <c r="B499" s="106" t="str">
        <f>'Detailed Report'!O495</f>
        <v>Fuddruckers - New Maadi</v>
      </c>
      <c r="C499" s="107">
        <f>TRUNC('Detailed Report'!Q495,0)</f>
        <v>46039</v>
      </c>
      <c r="D499" s="108">
        <f>'Detailed Report'!P495</f>
        <v>3405132589</v>
      </c>
      <c r="E499" s="106" t="str">
        <f>'Detailed Report'!S495</f>
        <v>Successful</v>
      </c>
      <c r="F499" s="109">
        <f>IF(E499=$E$6,('Detailed Report'!Y495),IF(E499=$E$5,(0),0))</f>
        <v>259.99</v>
      </c>
      <c r="G499" s="106">
        <f>IF(E499=$E$6,('Detailed Report'!AQ495),IF(E499=$E$5,('Detailed Report'!AW495),0))</f>
        <v>228.06139999999999</v>
      </c>
      <c r="H499" s="106">
        <f>'Detailed Report'!AS495</f>
        <v>57.015349999999998</v>
      </c>
      <c r="I499" s="106">
        <f>'Detailed Report'!AT495</f>
        <v>7.9821489999999997</v>
      </c>
      <c r="J499" s="106">
        <f>'Detailed Report'!AO495</f>
        <v>4.5498250000000002</v>
      </c>
      <c r="K499" s="106">
        <f>'Detailed Report'!AP495</f>
        <v>0.63697550000000003</v>
      </c>
      <c r="L499" s="106">
        <f>'Detailed Report'!AU495/1.14</f>
        <v>24.55263157894737</v>
      </c>
      <c r="M499" s="106">
        <f>'Detailed Report'!AU495-L499</f>
        <v>3.4373684210526285</v>
      </c>
      <c r="N499" s="110">
        <f>'Detailed Report'!AW495</f>
        <v>161.816</v>
      </c>
      <c r="O499" s="111">
        <f t="shared" si="53"/>
        <v>66.245399999999989</v>
      </c>
      <c r="P499" s="110">
        <f>'Detailed Report'!AM495</f>
        <v>0</v>
      </c>
      <c r="Q499" s="110">
        <f>'Detailed Report'!AN495</f>
        <v>0</v>
      </c>
      <c r="R499" s="110">
        <f>'Detailed Report'!AU495/1.14</f>
        <v>24.55263157894737</v>
      </c>
      <c r="S499" s="110">
        <f>'Detailed Report'!AU495-'........... - Otlob'!R499</f>
        <v>3.4373684210526285</v>
      </c>
    </row>
    <row r="500" spans="1:19" ht="14.45" customHeight="1" x14ac:dyDescent="0.25">
      <c r="A500" s="105">
        <f>+IF(B500="","",SUBTOTAL(3,B$8:B500))</f>
        <v>493</v>
      </c>
      <c r="B500" s="106" t="str">
        <f>'Detailed Report'!O496</f>
        <v>Fuddruckers - New Maadi</v>
      </c>
      <c r="C500" s="107">
        <f>TRUNC('Detailed Report'!Q496,0)</f>
        <v>46039</v>
      </c>
      <c r="D500" s="108">
        <f>'Detailed Report'!P496</f>
        <v>3405180082</v>
      </c>
      <c r="E500" s="106" t="str">
        <f>'Detailed Report'!S496</f>
        <v>Successful</v>
      </c>
      <c r="F500" s="109">
        <f>IF(E500=$E$6,('Detailed Report'!Y496),IF(E500=$E$5,(0),0))</f>
        <v>491.99</v>
      </c>
      <c r="G500" s="106">
        <f>IF(E500=$E$6,('Detailed Report'!AQ496),IF(E500=$E$5,('Detailed Report'!AW496),0))</f>
        <v>431.57017999999999</v>
      </c>
      <c r="H500" s="106">
        <f>'Detailed Report'!AS496</f>
        <v>107.89255</v>
      </c>
      <c r="I500" s="106">
        <f>'Detailed Report'!AT496</f>
        <v>15.104957000000001</v>
      </c>
      <c r="J500" s="106">
        <f>'Detailed Report'!AO496</f>
        <v>8.6098250000000007</v>
      </c>
      <c r="K500" s="106">
        <f>'Detailed Report'!AP496</f>
        <v>1.2053754999999999</v>
      </c>
      <c r="L500" s="106">
        <f>'Detailed Report'!AU496/1.14</f>
        <v>0</v>
      </c>
      <c r="M500" s="106">
        <f>'Detailed Report'!AU496-L500</f>
        <v>0</v>
      </c>
      <c r="N500" s="110">
        <f>'Detailed Report'!AW496</f>
        <v>359.17700000000002</v>
      </c>
      <c r="O500" s="111">
        <f t="shared" si="53"/>
        <v>72.393179999999973</v>
      </c>
      <c r="P500" s="110">
        <f>'Detailed Report'!AM496</f>
        <v>0</v>
      </c>
      <c r="Q500" s="110">
        <f>'Detailed Report'!AN496</f>
        <v>0</v>
      </c>
      <c r="R500" s="110">
        <f>'Detailed Report'!AU496/1.14</f>
        <v>0</v>
      </c>
      <c r="S500" s="110">
        <f>'Detailed Report'!AU496-'........... - Otlob'!R500</f>
        <v>0</v>
      </c>
    </row>
    <row r="501" spans="1:19" ht="14.45" customHeight="1" x14ac:dyDescent="0.25">
      <c r="A501" s="105">
        <f>+IF(B501="","",SUBTOTAL(3,B$8:B501))</f>
        <v>494</v>
      </c>
      <c r="B501" s="106" t="str">
        <f>'Detailed Report'!O497</f>
        <v>Fuddruckers - City Stars</v>
      </c>
      <c r="C501" s="107">
        <f>TRUNC('Detailed Report'!Q497,0)</f>
        <v>46039</v>
      </c>
      <c r="D501" s="108">
        <f>'Detailed Report'!P497</f>
        <v>3405236446</v>
      </c>
      <c r="E501" s="106" t="str">
        <f>'Detailed Report'!S497</f>
        <v>Successful</v>
      </c>
      <c r="F501" s="109">
        <f>IF(E501=$E$6,('Detailed Report'!Y497),IF(E501=$E$5,(0),0))</f>
        <v>355.99</v>
      </c>
      <c r="G501" s="106">
        <f>IF(E501=$E$6,('Detailed Report'!AQ497),IF(E501=$E$5,('Detailed Report'!AW497),0))</f>
        <v>312.27193</v>
      </c>
      <c r="H501" s="106">
        <f>'Detailed Report'!AS497</f>
        <v>78.067980000000006</v>
      </c>
      <c r="I501" s="106">
        <f>'Detailed Report'!AT497</f>
        <v>10.929517199999999</v>
      </c>
      <c r="J501" s="106">
        <f>'Detailed Report'!AO497</f>
        <v>6.2298249999999999</v>
      </c>
      <c r="K501" s="106">
        <f>'Detailed Report'!AP497</f>
        <v>0.87217549999999999</v>
      </c>
      <c r="L501" s="106">
        <f>'Detailed Report'!AU497/1.14</f>
        <v>25.42982456140351</v>
      </c>
      <c r="M501" s="106">
        <f>'Detailed Report'!AU497-L501</f>
        <v>3.5601754385964881</v>
      </c>
      <c r="N501" s="110">
        <f>'Detailed Report'!AW497</f>
        <v>196.70099999999999</v>
      </c>
      <c r="O501" s="111">
        <f t="shared" si="53"/>
        <v>115.57093</v>
      </c>
      <c r="P501" s="110">
        <f>'Detailed Report'!AM497</f>
        <v>30</v>
      </c>
      <c r="Q501" s="110">
        <f>'Detailed Report'!AN497</f>
        <v>4.2</v>
      </c>
      <c r="R501" s="110">
        <f>'Detailed Report'!AU497/1.14</f>
        <v>25.42982456140351</v>
      </c>
      <c r="S501" s="110">
        <f>'Detailed Report'!AU497-'........... - Otlob'!R501</f>
        <v>3.5601754385964881</v>
      </c>
    </row>
    <row r="502" spans="1:19" ht="14.45" customHeight="1" x14ac:dyDescent="0.25">
      <c r="A502" s="105">
        <f>+IF(B502="","",SUBTOTAL(3,B$8:B502))</f>
        <v>495</v>
      </c>
      <c r="B502" s="106" t="str">
        <f>'Detailed Report'!O498</f>
        <v>Fuddruckers - Concord Plaza Mall</v>
      </c>
      <c r="C502" s="107">
        <f>TRUNC('Detailed Report'!Q498,0)</f>
        <v>46039</v>
      </c>
      <c r="D502" s="108">
        <f>'Detailed Report'!P498</f>
        <v>3405273133</v>
      </c>
      <c r="E502" s="106" t="str">
        <f>'Detailed Report'!S498</f>
        <v>Successful</v>
      </c>
      <c r="F502" s="109">
        <f>IF(E502=$E$6,('Detailed Report'!Y498),IF(E502=$E$5,(0),0))</f>
        <v>363.99</v>
      </c>
      <c r="G502" s="106">
        <f>IF(E502=$E$6,('Detailed Report'!AQ498),IF(E502=$E$5,('Detailed Report'!AW498),0))</f>
        <v>319.28946999999999</v>
      </c>
      <c r="H502" s="106">
        <f>'Detailed Report'!AS498</f>
        <v>79.822370000000006</v>
      </c>
      <c r="I502" s="106">
        <f>'Detailed Report'!AT498</f>
        <v>11.175131800000001</v>
      </c>
      <c r="J502" s="106">
        <f>'Detailed Report'!AO498</f>
        <v>6.3698249999999996</v>
      </c>
      <c r="K502" s="106">
        <f>'Detailed Report'!AP498</f>
        <v>0.89177550000000005</v>
      </c>
      <c r="L502" s="106">
        <f>'Detailed Report'!AU498/1.14</f>
        <v>28.061403508771932</v>
      </c>
      <c r="M502" s="106">
        <f>'Detailed Report'!AU498-L502</f>
        <v>3.9285964912280669</v>
      </c>
      <c r="N502" s="110">
        <f>'Detailed Report'!AW498</f>
        <v>233.74100000000001</v>
      </c>
      <c r="O502" s="111">
        <f t="shared" si="53"/>
        <v>85.54846999999998</v>
      </c>
      <c r="P502" s="110">
        <f>'Detailed Report'!AM498</f>
        <v>0</v>
      </c>
      <c r="Q502" s="110">
        <f>'Detailed Report'!AN498</f>
        <v>0</v>
      </c>
      <c r="R502" s="110">
        <f>'Detailed Report'!AU498/1.14</f>
        <v>28.061403508771932</v>
      </c>
      <c r="S502" s="110">
        <f>'Detailed Report'!AU498-'........... - Otlob'!R502</f>
        <v>3.9285964912280669</v>
      </c>
    </row>
    <row r="503" spans="1:19" ht="14.45" customHeight="1" x14ac:dyDescent="0.25">
      <c r="A503" s="105">
        <f>+IF(B503="","",SUBTOTAL(3,B$8:B503))</f>
        <v>496</v>
      </c>
      <c r="B503" s="106" t="str">
        <f>'Detailed Report'!O499</f>
        <v>Fuddruckers - New Maadi</v>
      </c>
      <c r="C503" s="107">
        <f>TRUNC('Detailed Report'!Q499,0)</f>
        <v>46039</v>
      </c>
      <c r="D503" s="108">
        <f>'Detailed Report'!P499</f>
        <v>3405290463</v>
      </c>
      <c r="E503" s="106" t="str">
        <f>'Detailed Report'!S499</f>
        <v>Successful</v>
      </c>
      <c r="F503" s="109">
        <f>IF(E503=$E$6,('Detailed Report'!Y499),IF(E503=$E$5,(0),0))</f>
        <v>636.98</v>
      </c>
      <c r="G503" s="106">
        <f>IF(E503=$E$6,('Detailed Report'!AQ499),IF(E503=$E$5,('Detailed Report'!AW499),0))</f>
        <v>558.75438999999994</v>
      </c>
      <c r="H503" s="106">
        <f>'Detailed Report'!AS499</f>
        <v>139.68860000000001</v>
      </c>
      <c r="I503" s="106">
        <f>'Detailed Report'!AT499</f>
        <v>19.556404000000001</v>
      </c>
      <c r="J503" s="106">
        <f>'Detailed Report'!AO499</f>
        <v>11.14715</v>
      </c>
      <c r="K503" s="106">
        <f>'Detailed Report'!AP499</f>
        <v>1.5606009999999999</v>
      </c>
      <c r="L503" s="106">
        <f>'Detailed Report'!AU499/1.14</f>
        <v>0</v>
      </c>
      <c r="M503" s="106">
        <f>'Detailed Report'!AU499-L503</f>
        <v>0</v>
      </c>
      <c r="N503" s="110">
        <f>'Detailed Report'!AW499</f>
        <v>465.02699999999999</v>
      </c>
      <c r="O503" s="111">
        <f t="shared" si="53"/>
        <v>93.727389999999957</v>
      </c>
      <c r="P503" s="110">
        <f>'Detailed Report'!AM499</f>
        <v>0</v>
      </c>
      <c r="Q503" s="110">
        <f>'Detailed Report'!AN499</f>
        <v>0</v>
      </c>
      <c r="R503" s="110">
        <f>'Detailed Report'!AU499/1.14</f>
        <v>0</v>
      </c>
      <c r="S503" s="110">
        <f>'Detailed Report'!AU499-'........... - Otlob'!R503</f>
        <v>0</v>
      </c>
    </row>
    <row r="504" spans="1:19" ht="14.45" customHeight="1" x14ac:dyDescent="0.25">
      <c r="A504" s="105">
        <f>+IF(B504="","",SUBTOTAL(3,B$8:B504))</f>
        <v>497</v>
      </c>
      <c r="B504" s="106" t="str">
        <f>'Detailed Report'!O500</f>
        <v>Fuddruckers - New Maadi</v>
      </c>
      <c r="C504" s="107">
        <f>TRUNC('Detailed Report'!Q500,0)</f>
        <v>46039</v>
      </c>
      <c r="D504" s="108">
        <f>'Detailed Report'!P500</f>
        <v>3405294461</v>
      </c>
      <c r="E504" s="106" t="str">
        <f>'Detailed Report'!S500</f>
        <v>Successful</v>
      </c>
      <c r="F504" s="109">
        <f>IF(E504=$E$6,('Detailed Report'!Y500),IF(E504=$E$5,(0),0))</f>
        <v>504.4</v>
      </c>
      <c r="G504" s="106">
        <f>IF(E504=$E$6,('Detailed Report'!AQ500),IF(E504=$E$5,('Detailed Report'!AW500),0))</f>
        <v>442.45614</v>
      </c>
      <c r="H504" s="106">
        <f>'Detailed Report'!AS500</f>
        <v>110.61404</v>
      </c>
      <c r="I504" s="106">
        <f>'Detailed Report'!AT500</f>
        <v>15.4859656</v>
      </c>
      <c r="J504" s="106">
        <f>'Detailed Report'!AO500</f>
        <v>8.827</v>
      </c>
      <c r="K504" s="106">
        <f>'Detailed Report'!AP500</f>
        <v>1.2357800000000001</v>
      </c>
      <c r="L504" s="106">
        <f>'Detailed Report'!AU500/1.14</f>
        <v>26.307017543859651</v>
      </c>
      <c r="M504" s="106">
        <f>'Detailed Report'!AU500-L504</f>
        <v>3.6829824561403477</v>
      </c>
      <c r="N504" s="110">
        <f>'Detailed Report'!AW500</f>
        <v>338.24700000000001</v>
      </c>
      <c r="O504" s="111">
        <f t="shared" si="53"/>
        <v>104.20913999999999</v>
      </c>
      <c r="P504" s="110">
        <f>'Detailed Report'!AM500</f>
        <v>0</v>
      </c>
      <c r="Q504" s="110">
        <f>'Detailed Report'!AN500</f>
        <v>0</v>
      </c>
      <c r="R504" s="110">
        <f>'Detailed Report'!AU500/1.14</f>
        <v>26.307017543859651</v>
      </c>
      <c r="S504" s="110">
        <f>'Detailed Report'!AU500-'........... - Otlob'!R504</f>
        <v>3.6829824561403477</v>
      </c>
    </row>
    <row r="505" spans="1:19" ht="14.45" customHeight="1" x14ac:dyDescent="0.25">
      <c r="A505" s="105">
        <f>+IF(B505="","",SUBTOTAL(3,B$8:B505))</f>
        <v>498</v>
      </c>
      <c r="B505" s="106" t="str">
        <f>'Detailed Report'!O501</f>
        <v>Fuddruckers - New Maadi</v>
      </c>
      <c r="C505" s="107">
        <f>TRUNC('Detailed Report'!Q501,0)</f>
        <v>46039</v>
      </c>
      <c r="D505" s="108">
        <f>'Detailed Report'!P501</f>
        <v>3405303829</v>
      </c>
      <c r="E505" s="106" t="str">
        <f>'Detailed Report'!S501</f>
        <v>Successful</v>
      </c>
      <c r="F505" s="109">
        <f>IF(E505=$E$6,('Detailed Report'!Y501),IF(E505=$E$5,(0),0))</f>
        <v>61.33</v>
      </c>
      <c r="G505" s="106">
        <f>IF(E505=$E$6,('Detailed Report'!AQ501),IF(E505=$E$5,('Detailed Report'!AW501),0))</f>
        <v>53.798250000000003</v>
      </c>
      <c r="H505" s="106">
        <f>'Detailed Report'!AS501</f>
        <v>13.44956</v>
      </c>
      <c r="I505" s="106">
        <f>'Detailed Report'!AT501</f>
        <v>1.8829384</v>
      </c>
      <c r="J505" s="106">
        <f>'Detailed Report'!AO501</f>
        <v>1.073275</v>
      </c>
      <c r="K505" s="106">
        <f>'Detailed Report'!AP501</f>
        <v>0.15025849999999999</v>
      </c>
      <c r="L505" s="106">
        <f>'Detailed Report'!AU501/1.14</f>
        <v>0</v>
      </c>
      <c r="M505" s="106">
        <f>'Detailed Report'!AU501-L505</f>
        <v>0</v>
      </c>
      <c r="N505" s="110">
        <f>'Detailed Report'!AW501</f>
        <v>44.774000000000001</v>
      </c>
      <c r="O505" s="111">
        <f t="shared" si="53"/>
        <v>9.0242500000000021</v>
      </c>
      <c r="P505" s="110">
        <f>'Detailed Report'!AM501</f>
        <v>0</v>
      </c>
      <c r="Q505" s="110">
        <f>'Detailed Report'!AN501</f>
        <v>0</v>
      </c>
      <c r="R505" s="110">
        <f>'Detailed Report'!AU501/1.14</f>
        <v>0</v>
      </c>
      <c r="S505" s="110">
        <f>'Detailed Report'!AU501-'........... - Otlob'!R505</f>
        <v>0</v>
      </c>
    </row>
    <row r="506" spans="1:19" ht="14.45" customHeight="1" x14ac:dyDescent="0.25">
      <c r="A506" s="105">
        <f>+IF(B506="","",SUBTOTAL(3,B$8:B506))</f>
        <v>499</v>
      </c>
      <c r="B506" s="106" t="str">
        <f>'Detailed Report'!O502</f>
        <v>Fuddruckers - Concord Plaza Mall</v>
      </c>
      <c r="C506" s="107">
        <f>TRUNC('Detailed Report'!Q502,0)</f>
        <v>46039</v>
      </c>
      <c r="D506" s="108">
        <f>'Detailed Report'!P502</f>
        <v>3405328803</v>
      </c>
      <c r="E506" s="106" t="str">
        <f>'Detailed Report'!S502</f>
        <v>Successful</v>
      </c>
      <c r="F506" s="109">
        <f>IF(E506=$E$6,('Detailed Report'!Y502),IF(E506=$E$5,(0),0))</f>
        <v>638</v>
      </c>
      <c r="G506" s="106">
        <f>IF(E506=$E$6,('Detailed Report'!AQ502),IF(E506=$E$5,('Detailed Report'!AW502),0))</f>
        <v>559.64912000000004</v>
      </c>
      <c r="H506" s="106">
        <f>'Detailed Report'!AS502</f>
        <v>139.91228000000001</v>
      </c>
      <c r="I506" s="106">
        <f>'Detailed Report'!AT502</f>
        <v>19.587719199999999</v>
      </c>
      <c r="J506" s="106">
        <f>'Detailed Report'!AO502</f>
        <v>11.164999999999999</v>
      </c>
      <c r="K506" s="106">
        <f>'Detailed Report'!AP502</f>
        <v>1.5630999999999999</v>
      </c>
      <c r="L506" s="106">
        <f>'Detailed Report'!AU502/1.14</f>
        <v>0</v>
      </c>
      <c r="M506" s="106">
        <f>'Detailed Report'!AU502-L506</f>
        <v>0</v>
      </c>
      <c r="N506" s="110">
        <f>'Detailed Report'!AW502</f>
        <v>465.77199999999999</v>
      </c>
      <c r="O506" s="111">
        <f t="shared" si="53"/>
        <v>93.877120000000048</v>
      </c>
      <c r="P506" s="110">
        <f>'Detailed Report'!AM502</f>
        <v>0</v>
      </c>
      <c r="Q506" s="110">
        <f>'Detailed Report'!AN502</f>
        <v>0</v>
      </c>
      <c r="R506" s="110">
        <f>'Detailed Report'!AU502/1.14</f>
        <v>0</v>
      </c>
      <c r="S506" s="110">
        <f>'Detailed Report'!AU502-'........... - Otlob'!R506</f>
        <v>0</v>
      </c>
    </row>
    <row r="507" spans="1:19" ht="14.45" customHeight="1" x14ac:dyDescent="0.25">
      <c r="A507" s="105">
        <f>+IF(B507="","",SUBTOTAL(3,B$8:B507))</f>
        <v>500</v>
      </c>
      <c r="B507" s="106" t="str">
        <f>'Detailed Report'!O503</f>
        <v>Fuddruckers - Concord Plaza Mall</v>
      </c>
      <c r="C507" s="107">
        <f>TRUNC('Detailed Report'!Q503,0)</f>
        <v>46039</v>
      </c>
      <c r="D507" s="108">
        <f>'Detailed Report'!P503</f>
        <v>3405350786</v>
      </c>
      <c r="E507" s="106" t="str">
        <f>'Detailed Report'!S503</f>
        <v>Successful</v>
      </c>
      <c r="F507" s="109">
        <f>IF(E507=$E$6,('Detailed Report'!Y503),IF(E507=$E$5,(0),0))</f>
        <v>275.99</v>
      </c>
      <c r="G507" s="106">
        <f>IF(E507=$E$6,('Detailed Report'!AQ503),IF(E507=$E$5,('Detailed Report'!AW503),0))</f>
        <v>242.09648999999999</v>
      </c>
      <c r="H507" s="106">
        <f>'Detailed Report'!AS503</f>
        <v>60.524120000000003</v>
      </c>
      <c r="I507" s="106">
        <f>'Detailed Report'!AT503</f>
        <v>8.4733768000000005</v>
      </c>
      <c r="J507" s="106">
        <f>'Detailed Report'!AO503</f>
        <v>4.8298249999999996</v>
      </c>
      <c r="K507" s="106">
        <f>'Detailed Report'!AP503</f>
        <v>0.67617550000000004</v>
      </c>
      <c r="L507" s="106">
        <f>'Detailed Report'!AU503/1.14</f>
        <v>0</v>
      </c>
      <c r="M507" s="106">
        <f>'Detailed Report'!AU503-L507</f>
        <v>0</v>
      </c>
      <c r="N507" s="110">
        <f>'Detailed Report'!AW503</f>
        <v>201.48699999999999</v>
      </c>
      <c r="O507" s="111">
        <f t="shared" si="53"/>
        <v>40.609489999999994</v>
      </c>
      <c r="P507" s="110">
        <f>'Detailed Report'!AM503</f>
        <v>0</v>
      </c>
      <c r="Q507" s="110">
        <f>'Detailed Report'!AN503</f>
        <v>0</v>
      </c>
      <c r="R507" s="110">
        <f>'Detailed Report'!AU503/1.14</f>
        <v>0</v>
      </c>
      <c r="S507" s="110">
        <f>'Detailed Report'!AU503-'........... - Otlob'!R507</f>
        <v>0</v>
      </c>
    </row>
    <row r="508" spans="1:19" ht="14.45" customHeight="1" x14ac:dyDescent="0.25">
      <c r="A508" s="105">
        <f>+IF(B508="","",SUBTOTAL(3,B$8:B508))</f>
        <v>501</v>
      </c>
      <c r="B508" s="106" t="str">
        <f>'Detailed Report'!O504</f>
        <v>Fuddruckers - New Maadi</v>
      </c>
      <c r="C508" s="107">
        <f>TRUNC('Detailed Report'!Q504,0)</f>
        <v>46039</v>
      </c>
      <c r="D508" s="108">
        <f>'Detailed Report'!P504</f>
        <v>3405365265</v>
      </c>
      <c r="E508" s="106" t="str">
        <f>'Detailed Report'!S504</f>
        <v>Successful</v>
      </c>
      <c r="F508" s="109">
        <f>IF(E508=$E$6,('Detailed Report'!Y504),IF(E508=$E$5,(0),0))</f>
        <v>1264.96</v>
      </c>
      <c r="G508" s="106">
        <f>IF(E508=$E$6,('Detailed Report'!AQ504),IF(E508=$E$5,('Detailed Report'!AW504),0))</f>
        <v>1109.6140399999999</v>
      </c>
      <c r="H508" s="106">
        <f>'Detailed Report'!AS504</f>
        <v>277.40350999999998</v>
      </c>
      <c r="I508" s="106">
        <f>'Detailed Report'!AT504</f>
        <v>38.8364914</v>
      </c>
      <c r="J508" s="106">
        <f>'Detailed Report'!AO504</f>
        <v>0</v>
      </c>
      <c r="K508" s="106">
        <f>'Detailed Report'!AP504</f>
        <v>0</v>
      </c>
      <c r="L508" s="106">
        <f>'Detailed Report'!AU504/1.14</f>
        <v>0</v>
      </c>
      <c r="M508" s="106">
        <f>'Detailed Report'!AU504-L508</f>
        <v>0</v>
      </c>
      <c r="N508" s="110">
        <f>'Detailed Report'!AW504</f>
        <v>948.72</v>
      </c>
      <c r="O508" s="111">
        <f t="shared" si="53"/>
        <v>160.8940399999999</v>
      </c>
      <c r="P508" s="110">
        <f>'Detailed Report'!AM504</f>
        <v>0</v>
      </c>
      <c r="Q508" s="110">
        <f>'Detailed Report'!AN504</f>
        <v>0</v>
      </c>
      <c r="R508" s="110">
        <f>'Detailed Report'!AU504/1.14</f>
        <v>0</v>
      </c>
      <c r="S508" s="110">
        <f>'Detailed Report'!AU504-'........... - Otlob'!R508</f>
        <v>0</v>
      </c>
    </row>
    <row r="509" spans="1:19" ht="14.45" customHeight="1" x14ac:dyDescent="0.25">
      <c r="A509" s="105">
        <f>+IF(B509="","",SUBTOTAL(3,B$8:B509))</f>
        <v>502</v>
      </c>
      <c r="B509" s="106" t="str">
        <f>'Detailed Report'!O505</f>
        <v>Fuddruckers - City Stars</v>
      </c>
      <c r="C509" s="107">
        <f>TRUNC('Detailed Report'!Q505,0)</f>
        <v>46039</v>
      </c>
      <c r="D509" s="108">
        <f>'Detailed Report'!P505</f>
        <v>3405434172</v>
      </c>
      <c r="E509" s="106" t="str">
        <f>'Detailed Report'!S505</f>
        <v>Successful</v>
      </c>
      <c r="F509" s="109">
        <f>IF(E509=$E$6,('Detailed Report'!Y505),IF(E509=$E$5,(0),0))</f>
        <v>901.98</v>
      </c>
      <c r="G509" s="106">
        <f>IF(E509=$E$6,('Detailed Report'!AQ505),IF(E509=$E$5,('Detailed Report'!AW505),0))</f>
        <v>791.21052999999995</v>
      </c>
      <c r="H509" s="106">
        <f>'Detailed Report'!AS505</f>
        <v>197.80262999999999</v>
      </c>
      <c r="I509" s="106">
        <f>'Detailed Report'!AT505</f>
        <v>27.692368200000001</v>
      </c>
      <c r="J509" s="106">
        <f>'Detailed Report'!AO505</f>
        <v>15.784649999999999</v>
      </c>
      <c r="K509" s="106">
        <f>'Detailed Report'!AP505</f>
        <v>2.209851</v>
      </c>
      <c r="L509" s="106">
        <f>'Detailed Report'!AU505/1.14</f>
        <v>0</v>
      </c>
      <c r="M509" s="106">
        <f>'Detailed Report'!AU505-L509</f>
        <v>0</v>
      </c>
      <c r="N509" s="110">
        <f>'Detailed Report'!AW505</f>
        <v>624.29100000000005</v>
      </c>
      <c r="O509" s="111">
        <f t="shared" si="53"/>
        <v>166.9195299999999</v>
      </c>
      <c r="P509" s="110">
        <f>'Detailed Report'!AM505</f>
        <v>30</v>
      </c>
      <c r="Q509" s="110">
        <f>'Detailed Report'!AN505</f>
        <v>4.2</v>
      </c>
      <c r="R509" s="110">
        <f>'Detailed Report'!AU505/1.14</f>
        <v>0</v>
      </c>
      <c r="S509" s="110">
        <f>'Detailed Report'!AU505-'........... - Otlob'!R509</f>
        <v>0</v>
      </c>
    </row>
    <row r="510" spans="1:19" ht="14.45" customHeight="1" x14ac:dyDescent="0.25">
      <c r="A510" s="105">
        <f>+IF(B510="","",SUBTOTAL(3,B$8:B510))</f>
        <v>503</v>
      </c>
      <c r="B510" s="106" t="str">
        <f>'Detailed Report'!O506</f>
        <v>Fuddruckers - Concord Plaza Mall</v>
      </c>
      <c r="C510" s="107">
        <f>TRUNC('Detailed Report'!Q506,0)</f>
        <v>46039</v>
      </c>
      <c r="D510" s="108">
        <f>'Detailed Report'!P506</f>
        <v>3405437031</v>
      </c>
      <c r="E510" s="106" t="str">
        <f>'Detailed Report'!S506</f>
        <v>Successful</v>
      </c>
      <c r="F510" s="109">
        <f>IF(E510=$E$6,('Detailed Report'!Y506),IF(E510=$E$5,(0),0))</f>
        <v>353.99</v>
      </c>
      <c r="G510" s="106">
        <f>IF(E510=$E$6,('Detailed Report'!AQ506),IF(E510=$E$5,('Detailed Report'!AW506),0))</f>
        <v>310.51754</v>
      </c>
      <c r="H510" s="106">
        <f>'Detailed Report'!AS506</f>
        <v>77.629390000000001</v>
      </c>
      <c r="I510" s="106">
        <f>'Detailed Report'!AT506</f>
        <v>10.8681146</v>
      </c>
      <c r="J510" s="106">
        <f>'Detailed Report'!AO506</f>
        <v>6.1948249999999998</v>
      </c>
      <c r="K510" s="106">
        <f>'Detailed Report'!AP506</f>
        <v>0.86727549999999998</v>
      </c>
      <c r="L510" s="106">
        <f>'Detailed Report'!AU506/1.14</f>
        <v>27.184210526315791</v>
      </c>
      <c r="M510" s="106">
        <f>'Detailed Report'!AU506-L510</f>
        <v>3.8057894736842073</v>
      </c>
      <c r="N510" s="110">
        <f>'Detailed Report'!AW506</f>
        <v>227.44</v>
      </c>
      <c r="O510" s="111">
        <f t="shared" si="53"/>
        <v>83.077539999999999</v>
      </c>
      <c r="P510" s="110">
        <f>'Detailed Report'!AM506</f>
        <v>0</v>
      </c>
      <c r="Q510" s="110">
        <f>'Detailed Report'!AN506</f>
        <v>0</v>
      </c>
      <c r="R510" s="110">
        <f>'Detailed Report'!AU506/1.14</f>
        <v>27.184210526315791</v>
      </c>
      <c r="S510" s="110">
        <f>'Detailed Report'!AU506-'........... - Otlob'!R510</f>
        <v>3.8057894736842073</v>
      </c>
    </row>
    <row r="511" spans="1:19" ht="14.45" customHeight="1" x14ac:dyDescent="0.25">
      <c r="A511" s="105">
        <f>+IF(B511="","",SUBTOTAL(3,B$8:B511))</f>
        <v>504</v>
      </c>
      <c r="B511" s="106" t="str">
        <f>'Detailed Report'!O507</f>
        <v>Fuddruckers - New Maadi</v>
      </c>
      <c r="C511" s="107">
        <f>TRUNC('Detailed Report'!Q507,0)</f>
        <v>46039</v>
      </c>
      <c r="D511" s="108">
        <f>'Detailed Report'!P507</f>
        <v>3405493862</v>
      </c>
      <c r="E511" s="106" t="str">
        <f>'Detailed Report'!S507</f>
        <v>Successful</v>
      </c>
      <c r="F511" s="109">
        <f>IF(E511=$E$6,('Detailed Report'!Y507),IF(E511=$E$5,(0),0))</f>
        <v>582.58000000000004</v>
      </c>
      <c r="G511" s="106">
        <f>IF(E511=$E$6,('Detailed Report'!AQ507),IF(E511=$E$5,('Detailed Report'!AW507),0))</f>
        <v>511.03509000000003</v>
      </c>
      <c r="H511" s="106">
        <f>'Detailed Report'!AS507</f>
        <v>127.75877</v>
      </c>
      <c r="I511" s="106">
        <f>'Detailed Report'!AT507</f>
        <v>17.8862278</v>
      </c>
      <c r="J511" s="106">
        <f>'Detailed Report'!AO507</f>
        <v>10.19515</v>
      </c>
      <c r="K511" s="106">
        <f>'Detailed Report'!AP507</f>
        <v>1.4273210000000001</v>
      </c>
      <c r="L511" s="106">
        <f>'Detailed Report'!AU507/1.14</f>
        <v>0</v>
      </c>
      <c r="M511" s="106">
        <f>'Detailed Report'!AU507-L511</f>
        <v>0</v>
      </c>
      <c r="N511" s="110">
        <f>'Detailed Report'!AW507</f>
        <v>425.31299999999999</v>
      </c>
      <c r="O511" s="111">
        <f t="shared" si="53"/>
        <v>85.722090000000037</v>
      </c>
      <c r="P511" s="110">
        <f>'Detailed Report'!AM507</f>
        <v>0</v>
      </c>
      <c r="Q511" s="110">
        <f>'Detailed Report'!AN507</f>
        <v>0</v>
      </c>
      <c r="R511" s="110">
        <f>'Detailed Report'!AU507/1.14</f>
        <v>0</v>
      </c>
      <c r="S511" s="110">
        <f>'Detailed Report'!AU507-'........... - Otlob'!R511</f>
        <v>0</v>
      </c>
    </row>
    <row r="512" spans="1:19" ht="14.45" customHeight="1" x14ac:dyDescent="0.25">
      <c r="A512" s="105">
        <f>+IF(B512="","",SUBTOTAL(3,B$8:B512))</f>
        <v>505</v>
      </c>
      <c r="B512" s="106" t="str">
        <f>'Detailed Report'!O508</f>
        <v>Fuddruckers - New Maadi</v>
      </c>
      <c r="C512" s="107">
        <f>TRUNC('Detailed Report'!Q508,0)</f>
        <v>46039</v>
      </c>
      <c r="D512" s="108">
        <f>'Detailed Report'!P508</f>
        <v>3405509723</v>
      </c>
      <c r="E512" s="106" t="str">
        <f>'Detailed Report'!S508</f>
        <v>Successful</v>
      </c>
      <c r="F512" s="109">
        <f>IF(E512=$E$6,('Detailed Report'!Y508),IF(E512=$E$5,(0),0))</f>
        <v>266.99</v>
      </c>
      <c r="G512" s="106">
        <f>IF(E512=$E$6,('Detailed Report'!AQ508),IF(E512=$E$5,('Detailed Report'!AW508),0))</f>
        <v>234.20175</v>
      </c>
      <c r="H512" s="106">
        <f>'Detailed Report'!AS508</f>
        <v>58.550440000000002</v>
      </c>
      <c r="I512" s="106">
        <f>'Detailed Report'!AT508</f>
        <v>8.1970615999999996</v>
      </c>
      <c r="J512" s="106">
        <f>'Detailed Report'!AO508</f>
        <v>4.6723249999999998</v>
      </c>
      <c r="K512" s="106">
        <f>'Detailed Report'!AP508</f>
        <v>0.65412550000000003</v>
      </c>
      <c r="L512" s="106">
        <f>'Detailed Report'!AU508/1.14</f>
        <v>0</v>
      </c>
      <c r="M512" s="106">
        <f>'Detailed Report'!AU508-L512</f>
        <v>0</v>
      </c>
      <c r="N512" s="110">
        <f>'Detailed Report'!AW508</f>
        <v>160.71600000000001</v>
      </c>
      <c r="O512" s="111">
        <f t="shared" si="53"/>
        <v>73.485749999999996</v>
      </c>
      <c r="P512" s="110">
        <f>'Detailed Report'!AM508</f>
        <v>30</v>
      </c>
      <c r="Q512" s="110">
        <f>'Detailed Report'!AN508</f>
        <v>4.2</v>
      </c>
      <c r="R512" s="110">
        <f>'Detailed Report'!AU508/1.14</f>
        <v>0</v>
      </c>
      <c r="S512" s="110">
        <f>'Detailed Report'!AU508-'........... - Otlob'!R512</f>
        <v>0</v>
      </c>
    </row>
    <row r="513" spans="1:19" ht="14.45" customHeight="1" x14ac:dyDescent="0.25">
      <c r="A513" s="105">
        <f>+IF(B513="","",SUBTOTAL(3,B$8:B513))</f>
        <v>506</v>
      </c>
      <c r="B513" s="106" t="str">
        <f>'Detailed Report'!O509</f>
        <v>Fuddruckers - Concord Plaza Mall</v>
      </c>
      <c r="C513" s="107">
        <f>TRUNC('Detailed Report'!Q509,0)</f>
        <v>46039</v>
      </c>
      <c r="D513" s="108">
        <f>'Detailed Report'!P509</f>
        <v>3405550115</v>
      </c>
      <c r="E513" s="106" t="str">
        <f>'Detailed Report'!S509</f>
        <v>Successful</v>
      </c>
      <c r="F513" s="109">
        <f>IF(E513=$E$6,('Detailed Report'!Y509),IF(E513=$E$5,(0),0))</f>
        <v>353.99</v>
      </c>
      <c r="G513" s="106">
        <f>IF(E513=$E$6,('Detailed Report'!AQ509),IF(E513=$E$5,('Detailed Report'!AW509),0))</f>
        <v>310.51754</v>
      </c>
      <c r="H513" s="106">
        <f>'Detailed Report'!AS509</f>
        <v>77.629390000000001</v>
      </c>
      <c r="I513" s="106">
        <f>'Detailed Report'!AT509</f>
        <v>10.8681146</v>
      </c>
      <c r="J513" s="106">
        <f>'Detailed Report'!AO509</f>
        <v>6.1948249999999998</v>
      </c>
      <c r="K513" s="106">
        <f>'Detailed Report'!AP509</f>
        <v>0.86727549999999998</v>
      </c>
      <c r="L513" s="106">
        <f>'Detailed Report'!AU509/1.14</f>
        <v>28.938596491228076</v>
      </c>
      <c r="M513" s="106">
        <f>'Detailed Report'!AU509-L513</f>
        <v>4.0514035087719265</v>
      </c>
      <c r="N513" s="110">
        <f>'Detailed Report'!AW509</f>
        <v>225.44</v>
      </c>
      <c r="O513" s="111">
        <f t="shared" si="53"/>
        <v>85.077539999999999</v>
      </c>
      <c r="P513" s="110">
        <f>'Detailed Report'!AM509</f>
        <v>0</v>
      </c>
      <c r="Q513" s="110">
        <f>'Detailed Report'!AN509</f>
        <v>0</v>
      </c>
      <c r="R513" s="110">
        <f>'Detailed Report'!AU509/1.14</f>
        <v>28.938596491228076</v>
      </c>
      <c r="S513" s="110">
        <f>'Detailed Report'!AU509-'........... - Otlob'!R513</f>
        <v>4.0514035087719265</v>
      </c>
    </row>
    <row r="514" spans="1:19" ht="14.45" customHeight="1" x14ac:dyDescent="0.25">
      <c r="A514" s="105">
        <f>+IF(B514="","",SUBTOTAL(3,B$8:B514))</f>
        <v>507</v>
      </c>
      <c r="B514" s="106" t="str">
        <f>'Detailed Report'!O510</f>
        <v>Fuddruckers - New Maadi</v>
      </c>
      <c r="C514" s="107">
        <f>TRUNC('Detailed Report'!Q510,0)</f>
        <v>46039</v>
      </c>
      <c r="D514" s="108">
        <f>'Detailed Report'!P510</f>
        <v>3405562736</v>
      </c>
      <c r="E514" s="106" t="str">
        <f>'Detailed Report'!S510</f>
        <v>Charged Cancelled</v>
      </c>
      <c r="F514" s="109">
        <f>IF(E514=$E$6,('Detailed Report'!Y510),IF(E514=$E$5,(0),0))</f>
        <v>0</v>
      </c>
      <c r="G514" s="106">
        <f>IF(E514=$E$6,('Detailed Report'!AQ510),IF(E514=$E$5,('Detailed Report'!AW510),0))</f>
        <v>-85.394999999999996</v>
      </c>
      <c r="H514" s="106">
        <f>'Detailed Report'!AS510</f>
        <v>74.907899999999998</v>
      </c>
      <c r="I514" s="106">
        <f>'Detailed Report'!AT510</f>
        <v>10.487106000000001</v>
      </c>
      <c r="J514" s="106">
        <f>'Detailed Report'!AO510</f>
        <v>0</v>
      </c>
      <c r="K514" s="106">
        <f>'Detailed Report'!AP510</f>
        <v>0</v>
      </c>
      <c r="L514" s="106">
        <f>'Detailed Report'!AU510/1.14</f>
        <v>0</v>
      </c>
      <c r="M514" s="106">
        <f>'Detailed Report'!AU510-L514</f>
        <v>0</v>
      </c>
      <c r="N514" s="110">
        <f>'Detailed Report'!AW510</f>
        <v>-85.394999999999996</v>
      </c>
      <c r="O514" s="111">
        <f t="shared" si="53"/>
        <v>0</v>
      </c>
      <c r="P514" s="110">
        <f>'Detailed Report'!AM510</f>
        <v>0</v>
      </c>
      <c r="Q514" s="110">
        <f>'Detailed Report'!AN510</f>
        <v>0</v>
      </c>
      <c r="R514" s="110">
        <f>'Detailed Report'!AU510/1.14</f>
        <v>0</v>
      </c>
      <c r="S514" s="110">
        <f>'Detailed Report'!AU510-'........... - Otlob'!R514</f>
        <v>0</v>
      </c>
    </row>
    <row r="515" spans="1:19" ht="14.45" customHeight="1" x14ac:dyDescent="0.25">
      <c r="A515" s="105">
        <f>+IF(B515="","",SUBTOTAL(3,B$8:B515))</f>
        <v>508</v>
      </c>
      <c r="B515" s="106" t="str">
        <f>'Detailed Report'!O511</f>
        <v>Fuddruckers - Concord Plaza Mall</v>
      </c>
      <c r="C515" s="107">
        <f>TRUNC('Detailed Report'!Q511,0)</f>
        <v>46040</v>
      </c>
      <c r="D515" s="108">
        <f>'Detailed Report'!P511</f>
        <v>3406024022</v>
      </c>
      <c r="E515" s="106" t="str">
        <f>'Detailed Report'!S511</f>
        <v>Successful</v>
      </c>
      <c r="F515" s="109">
        <f>IF(E515=$E$6,('Detailed Report'!Y511),IF(E515=$E$5,(0),0))</f>
        <v>209.99</v>
      </c>
      <c r="G515" s="106">
        <f>IF(E515=$E$6,('Detailed Report'!AQ511),IF(E515=$E$5,('Detailed Report'!AW511),0))</f>
        <v>184.20175</v>
      </c>
      <c r="H515" s="106">
        <f>'Detailed Report'!AS511</f>
        <v>46.050440000000002</v>
      </c>
      <c r="I515" s="106">
        <f>'Detailed Report'!AT511</f>
        <v>6.4470615999999996</v>
      </c>
      <c r="J515" s="106">
        <f>'Detailed Report'!AO511</f>
        <v>3.6748249999999998</v>
      </c>
      <c r="K515" s="106">
        <f>'Detailed Report'!AP511</f>
        <v>0.51447549999999997</v>
      </c>
      <c r="L515" s="106">
        <f>'Detailed Report'!AU511/1.14</f>
        <v>29.815789473684216</v>
      </c>
      <c r="M515" s="106">
        <f>'Detailed Report'!AU511-L515</f>
        <v>4.174210526315786</v>
      </c>
      <c r="N515" s="110">
        <f>'Detailed Report'!AW511</f>
        <v>119.313</v>
      </c>
      <c r="O515" s="111">
        <f t="shared" si="53"/>
        <v>64.888750000000002</v>
      </c>
      <c r="P515" s="110">
        <f>'Detailed Report'!AM511</f>
        <v>0</v>
      </c>
      <c r="Q515" s="110">
        <f>'Detailed Report'!AN511</f>
        <v>0</v>
      </c>
      <c r="R515" s="110">
        <f>'Detailed Report'!AU511/1.14</f>
        <v>29.815789473684216</v>
      </c>
      <c r="S515" s="110">
        <f>'Detailed Report'!AU511-'........... - Otlob'!R515</f>
        <v>4.174210526315786</v>
      </c>
    </row>
    <row r="516" spans="1:19" ht="14.45" customHeight="1" x14ac:dyDescent="0.25">
      <c r="A516" s="105">
        <f>+IF(B516="","",SUBTOTAL(3,B$8:B516))</f>
        <v>509</v>
      </c>
      <c r="B516" s="106" t="str">
        <f>'Detailed Report'!O512</f>
        <v>Fuddruckers - Concord Plaza Mall</v>
      </c>
      <c r="C516" s="107">
        <f>TRUNC('Detailed Report'!Q512,0)</f>
        <v>46040</v>
      </c>
      <c r="D516" s="108">
        <f>'Detailed Report'!P512</f>
        <v>3406306822</v>
      </c>
      <c r="E516" s="106" t="str">
        <f>'Detailed Report'!S512</f>
        <v>Successful</v>
      </c>
      <c r="F516" s="109">
        <f>IF(E516=$E$6,('Detailed Report'!Y512),IF(E516=$E$5,(0),0))</f>
        <v>1033.96</v>
      </c>
      <c r="G516" s="106">
        <f>IF(E516=$E$6,('Detailed Report'!AQ512),IF(E516=$E$5,('Detailed Report'!AW512),0))</f>
        <v>906.98245999999995</v>
      </c>
      <c r="H516" s="106">
        <f>'Detailed Report'!AS512</f>
        <v>226.74562</v>
      </c>
      <c r="I516" s="106">
        <f>'Detailed Report'!AT512</f>
        <v>31.744386800000001</v>
      </c>
      <c r="J516" s="106">
        <f>'Detailed Report'!AO512</f>
        <v>0</v>
      </c>
      <c r="K516" s="106">
        <f>'Detailed Report'!AP512</f>
        <v>0</v>
      </c>
      <c r="L516" s="106">
        <f>'Detailed Report'!AU512/1.14</f>
        <v>31.570175438596497</v>
      </c>
      <c r="M516" s="106">
        <f>'Detailed Report'!AU512-L516</f>
        <v>4.4198245614035052</v>
      </c>
      <c r="N516" s="110">
        <f>'Detailed Report'!AW512</f>
        <v>739.48</v>
      </c>
      <c r="O516" s="111">
        <f t="shared" si="53"/>
        <v>167.50245999999993</v>
      </c>
      <c r="P516" s="110">
        <f>'Detailed Report'!AM512</f>
        <v>0</v>
      </c>
      <c r="Q516" s="110">
        <f>'Detailed Report'!AN512</f>
        <v>0</v>
      </c>
      <c r="R516" s="110">
        <f>'Detailed Report'!AU512/1.14</f>
        <v>31.570175438596497</v>
      </c>
      <c r="S516" s="110">
        <f>'Detailed Report'!AU512-'........... - Otlob'!R516</f>
        <v>4.4198245614035052</v>
      </c>
    </row>
    <row r="517" spans="1:19" ht="14.45" customHeight="1" x14ac:dyDescent="0.25">
      <c r="A517" s="105">
        <f>+IF(B517="","",SUBTOTAL(3,B$8:B517))</f>
        <v>510</v>
      </c>
      <c r="B517" s="106" t="str">
        <f>'Detailed Report'!O513</f>
        <v>Fuddruckers - New Maadi</v>
      </c>
      <c r="C517" s="107">
        <f>TRUNC('Detailed Report'!Q513,0)</f>
        <v>46040</v>
      </c>
      <c r="D517" s="108">
        <f>'Detailed Report'!P513</f>
        <v>3406377341</v>
      </c>
      <c r="E517" s="106" t="str">
        <f>'Detailed Report'!S513</f>
        <v>Successful</v>
      </c>
      <c r="F517" s="109">
        <f>IF(E517=$E$6,('Detailed Report'!Y513),IF(E517=$E$5,(0),0))</f>
        <v>499.98</v>
      </c>
      <c r="G517" s="106">
        <f>IF(E517=$E$6,('Detailed Report'!AQ513),IF(E517=$E$5,('Detailed Report'!AW513),0))</f>
        <v>438.57895000000002</v>
      </c>
      <c r="H517" s="106">
        <f>'Detailed Report'!AS513</f>
        <v>109.64474</v>
      </c>
      <c r="I517" s="106">
        <f>'Detailed Report'!AT513</f>
        <v>15.3502636</v>
      </c>
      <c r="J517" s="106">
        <f>'Detailed Report'!AO513</f>
        <v>0</v>
      </c>
      <c r="K517" s="106">
        <f>'Detailed Report'!AP513</f>
        <v>0</v>
      </c>
      <c r="L517" s="106">
        <f>'Detailed Report'!AU513/1.14</f>
        <v>0</v>
      </c>
      <c r="M517" s="106">
        <f>'Detailed Report'!AU513-L517</f>
        <v>0</v>
      </c>
      <c r="N517" s="110">
        <f>'Detailed Report'!AW513</f>
        <v>374.98500000000001</v>
      </c>
      <c r="O517" s="111">
        <f t="shared" si="53"/>
        <v>63.593950000000007</v>
      </c>
      <c r="P517" s="110">
        <f>'Detailed Report'!AM513</f>
        <v>0</v>
      </c>
      <c r="Q517" s="110">
        <f>'Detailed Report'!AN513</f>
        <v>0</v>
      </c>
      <c r="R517" s="110">
        <f>'Detailed Report'!AU513/1.14</f>
        <v>0</v>
      </c>
      <c r="S517" s="110">
        <f>'Detailed Report'!AU513-'........... - Otlob'!R517</f>
        <v>0</v>
      </c>
    </row>
    <row r="518" spans="1:19" ht="14.45" customHeight="1" x14ac:dyDescent="0.25">
      <c r="A518" s="105">
        <f>+IF(B518="","",SUBTOTAL(3,B$8:B518))</f>
        <v>511</v>
      </c>
      <c r="B518" s="106" t="str">
        <f>'Detailed Report'!O514</f>
        <v>Fuddruckers - City Stars</v>
      </c>
      <c r="C518" s="107">
        <f>TRUNC('Detailed Report'!Q514,0)</f>
        <v>46040</v>
      </c>
      <c r="D518" s="108">
        <f>'Detailed Report'!P514</f>
        <v>3406380721</v>
      </c>
      <c r="E518" s="106" t="str">
        <f>'Detailed Report'!S514</f>
        <v>Successful</v>
      </c>
      <c r="F518" s="109">
        <f>IF(E518=$E$6,('Detailed Report'!Y514),IF(E518=$E$5,(0),0))</f>
        <v>459.99</v>
      </c>
      <c r="G518" s="106">
        <f>IF(E518=$E$6,('Detailed Report'!AQ514),IF(E518=$E$5,('Detailed Report'!AW514),0))</f>
        <v>403.5</v>
      </c>
      <c r="H518" s="106">
        <f>'Detailed Report'!AS514</f>
        <v>100.875</v>
      </c>
      <c r="I518" s="106">
        <f>'Detailed Report'!AT514</f>
        <v>14.1225</v>
      </c>
      <c r="J518" s="106">
        <f>'Detailed Report'!AO514</f>
        <v>0</v>
      </c>
      <c r="K518" s="106">
        <f>'Detailed Report'!AP514</f>
        <v>0</v>
      </c>
      <c r="L518" s="106">
        <f>'Detailed Report'!AU514/1.14</f>
        <v>24.55263157894737</v>
      </c>
      <c r="M518" s="106">
        <f>'Detailed Report'!AU514-L518</f>
        <v>3.4373684210526285</v>
      </c>
      <c r="N518" s="110">
        <f>'Detailed Report'!AW514</f>
        <v>317.00200000000001</v>
      </c>
      <c r="O518" s="111">
        <f t="shared" si="53"/>
        <v>86.49799999999999</v>
      </c>
      <c r="P518" s="110">
        <f>'Detailed Report'!AM514</f>
        <v>0</v>
      </c>
      <c r="Q518" s="110">
        <f>'Detailed Report'!AN514</f>
        <v>0</v>
      </c>
      <c r="R518" s="110">
        <f>'Detailed Report'!AU514/1.14</f>
        <v>24.55263157894737</v>
      </c>
      <c r="S518" s="110">
        <f>'Detailed Report'!AU514-'........... - Otlob'!R518</f>
        <v>3.4373684210526285</v>
      </c>
    </row>
    <row r="519" spans="1:19" ht="14.45" customHeight="1" x14ac:dyDescent="0.25">
      <c r="A519" s="105">
        <f>+IF(B519="","",SUBTOTAL(3,B$8:B519))</f>
        <v>512</v>
      </c>
      <c r="B519" s="106" t="str">
        <f>'Detailed Report'!O515</f>
        <v>Fuddruckers - Concord Plaza Mall</v>
      </c>
      <c r="C519" s="107">
        <f>TRUNC('Detailed Report'!Q515,0)</f>
        <v>46040</v>
      </c>
      <c r="D519" s="108">
        <f>'Detailed Report'!P515</f>
        <v>3406402580</v>
      </c>
      <c r="E519" s="106" t="str">
        <f>'Detailed Report'!S515</f>
        <v>Successful</v>
      </c>
      <c r="F519" s="109">
        <f>IF(E519=$E$6,('Detailed Report'!Y515),IF(E519=$E$5,(0),0))</f>
        <v>353.99</v>
      </c>
      <c r="G519" s="106">
        <f>IF(E519=$E$6,('Detailed Report'!AQ515),IF(E519=$E$5,('Detailed Report'!AW515),0))</f>
        <v>310.51754</v>
      </c>
      <c r="H519" s="106">
        <f>'Detailed Report'!AS515</f>
        <v>77.629390000000001</v>
      </c>
      <c r="I519" s="106">
        <f>'Detailed Report'!AT515</f>
        <v>10.8681146</v>
      </c>
      <c r="J519" s="106">
        <f>'Detailed Report'!AO515</f>
        <v>6.1948249999999998</v>
      </c>
      <c r="K519" s="106">
        <f>'Detailed Report'!AP515</f>
        <v>0.86727549999999998</v>
      </c>
      <c r="L519" s="106">
        <f>'Detailed Report'!AU515/1.14</f>
        <v>0</v>
      </c>
      <c r="M519" s="106">
        <f>'Detailed Report'!AU515-L519</f>
        <v>0</v>
      </c>
      <c r="N519" s="110">
        <f>'Detailed Report'!AW515</f>
        <v>258.43</v>
      </c>
      <c r="O519" s="111">
        <f t="shared" si="53"/>
        <v>52.08753999999999</v>
      </c>
      <c r="P519" s="110">
        <f>'Detailed Report'!AM515</f>
        <v>0</v>
      </c>
      <c r="Q519" s="110">
        <f>'Detailed Report'!AN515</f>
        <v>0</v>
      </c>
      <c r="R519" s="110">
        <f>'Detailed Report'!AU515/1.14</f>
        <v>0</v>
      </c>
      <c r="S519" s="110">
        <f>'Detailed Report'!AU515-'........... - Otlob'!R519</f>
        <v>0</v>
      </c>
    </row>
    <row r="520" spans="1:19" ht="14.45" customHeight="1" x14ac:dyDescent="0.25">
      <c r="A520" s="105">
        <f>+IF(B520="","",SUBTOTAL(3,B$8:B520))</f>
        <v>513</v>
      </c>
      <c r="B520" s="106" t="str">
        <f>'Detailed Report'!O516</f>
        <v>Fuddruckers - City Stars</v>
      </c>
      <c r="C520" s="107">
        <f>TRUNC('Detailed Report'!Q516,0)</f>
        <v>46040</v>
      </c>
      <c r="D520" s="108">
        <f>'Detailed Report'!P516</f>
        <v>3406431751</v>
      </c>
      <c r="E520" s="106" t="str">
        <f>'Detailed Report'!S516</f>
        <v>Successful</v>
      </c>
      <c r="F520" s="109">
        <f>IF(E520=$E$6,('Detailed Report'!Y516),IF(E520=$E$5,(0),0))</f>
        <v>490.99</v>
      </c>
      <c r="G520" s="106">
        <f>IF(E520=$E$6,('Detailed Report'!AQ516),IF(E520=$E$5,('Detailed Report'!AW516),0))</f>
        <v>430.69297999999998</v>
      </c>
      <c r="H520" s="106">
        <f>'Detailed Report'!AS516</f>
        <v>107.67325</v>
      </c>
      <c r="I520" s="106">
        <f>'Detailed Report'!AT516</f>
        <v>15.074255000000001</v>
      </c>
      <c r="J520" s="106">
        <f>'Detailed Report'!AO516</f>
        <v>0</v>
      </c>
      <c r="K520" s="106">
        <f>'Detailed Report'!AP516</f>
        <v>0</v>
      </c>
      <c r="L520" s="106">
        <f>'Detailed Report'!AU516/1.14</f>
        <v>0</v>
      </c>
      <c r="M520" s="106">
        <f>'Detailed Report'!AU516-L520</f>
        <v>0</v>
      </c>
      <c r="N520" s="110">
        <f>'Detailed Report'!AW516</f>
        <v>368.24200000000002</v>
      </c>
      <c r="O520" s="111">
        <f t="shared" si="53"/>
        <v>62.450979999999959</v>
      </c>
      <c r="P520" s="110">
        <f>'Detailed Report'!AM516</f>
        <v>0</v>
      </c>
      <c r="Q520" s="110">
        <f>'Detailed Report'!AN516</f>
        <v>0</v>
      </c>
      <c r="R520" s="110">
        <f>'Detailed Report'!AU516/1.14</f>
        <v>0</v>
      </c>
      <c r="S520" s="110">
        <f>'Detailed Report'!AU516-'........... - Otlob'!R520</f>
        <v>0</v>
      </c>
    </row>
    <row r="521" spans="1:19" ht="14.45" customHeight="1" x14ac:dyDescent="0.25">
      <c r="A521" s="105">
        <f>+IF(B521="","",SUBTOTAL(3,B$8:B521))</f>
        <v>514</v>
      </c>
      <c r="B521" s="106" t="str">
        <f>'Detailed Report'!O517</f>
        <v>Fuddruckers - New Maadi</v>
      </c>
      <c r="C521" s="107">
        <f>TRUNC('Detailed Report'!Q517,0)</f>
        <v>46040</v>
      </c>
      <c r="D521" s="108">
        <f>'Detailed Report'!P517</f>
        <v>3406441871</v>
      </c>
      <c r="E521" s="106" t="str">
        <f>'Detailed Report'!S517</f>
        <v>Successful</v>
      </c>
      <c r="F521" s="109">
        <f>IF(E521=$E$6,('Detailed Report'!Y517),IF(E521=$E$5,(0),0))</f>
        <v>453.99</v>
      </c>
      <c r="G521" s="106">
        <f>IF(E521=$E$6,('Detailed Report'!AQ517),IF(E521=$E$5,('Detailed Report'!AW517),0))</f>
        <v>398.23683999999997</v>
      </c>
      <c r="H521" s="106">
        <f>'Detailed Report'!AS517</f>
        <v>99.559209999999993</v>
      </c>
      <c r="I521" s="106">
        <f>'Detailed Report'!AT517</f>
        <v>13.9382894</v>
      </c>
      <c r="J521" s="106">
        <f>'Detailed Report'!AO517</f>
        <v>7.9448249999999998</v>
      </c>
      <c r="K521" s="106">
        <f>'Detailed Report'!AP517</f>
        <v>1.1122755</v>
      </c>
      <c r="L521" s="106">
        <f>'Detailed Report'!AU517/1.14</f>
        <v>0</v>
      </c>
      <c r="M521" s="106">
        <f>'Detailed Report'!AU517-L521</f>
        <v>0</v>
      </c>
      <c r="N521" s="110">
        <f>'Detailed Report'!AW517</f>
        <v>331.435</v>
      </c>
      <c r="O521" s="111">
        <f t="shared" ref="O521:O584" si="54">G521-N521</f>
        <v>66.80183999999997</v>
      </c>
      <c r="P521" s="110">
        <f>'Detailed Report'!AM517</f>
        <v>0</v>
      </c>
      <c r="Q521" s="110">
        <f>'Detailed Report'!AN517</f>
        <v>0</v>
      </c>
      <c r="R521" s="110">
        <f>'Detailed Report'!AU517/1.14</f>
        <v>0</v>
      </c>
      <c r="S521" s="110">
        <f>'Detailed Report'!AU517-'........... - Otlob'!R521</f>
        <v>0</v>
      </c>
    </row>
    <row r="522" spans="1:19" ht="14.45" customHeight="1" x14ac:dyDescent="0.25">
      <c r="A522" s="105">
        <f>+IF(B522="","",SUBTOTAL(3,B$8:B522))</f>
        <v>515</v>
      </c>
      <c r="B522" s="106" t="str">
        <f>'Detailed Report'!O518</f>
        <v>Fuddruckers - Concord Plaza Mall</v>
      </c>
      <c r="C522" s="107">
        <f>TRUNC('Detailed Report'!Q518,0)</f>
        <v>46040</v>
      </c>
      <c r="D522" s="108">
        <f>'Detailed Report'!P518</f>
        <v>3406447848</v>
      </c>
      <c r="E522" s="106" t="str">
        <f>'Detailed Report'!S518</f>
        <v>Successful</v>
      </c>
      <c r="F522" s="109">
        <f>IF(E522=$E$6,('Detailed Report'!Y518),IF(E522=$E$5,(0),0))</f>
        <v>520.66</v>
      </c>
      <c r="G522" s="106">
        <f>IF(E522=$E$6,('Detailed Report'!AQ518),IF(E522=$E$5,('Detailed Report'!AW518),0))</f>
        <v>456.71929999999998</v>
      </c>
      <c r="H522" s="106">
        <f>'Detailed Report'!AS518</f>
        <v>114.17983</v>
      </c>
      <c r="I522" s="106">
        <f>'Detailed Report'!AT518</f>
        <v>15.9851762</v>
      </c>
      <c r="J522" s="106">
        <f>'Detailed Report'!AO518</f>
        <v>9.1115499999999994</v>
      </c>
      <c r="K522" s="106">
        <f>'Detailed Report'!AP518</f>
        <v>1.275617</v>
      </c>
      <c r="L522" s="106">
        <f>'Detailed Report'!AU518/1.14</f>
        <v>0</v>
      </c>
      <c r="M522" s="106">
        <f>'Detailed Report'!AU518-L522</f>
        <v>0</v>
      </c>
      <c r="N522" s="110">
        <f>'Detailed Report'!AW518</f>
        <v>380.108</v>
      </c>
      <c r="O522" s="111">
        <f t="shared" si="54"/>
        <v>76.611299999999972</v>
      </c>
      <c r="P522" s="110">
        <f>'Detailed Report'!AM518</f>
        <v>0</v>
      </c>
      <c r="Q522" s="110">
        <f>'Detailed Report'!AN518</f>
        <v>0</v>
      </c>
      <c r="R522" s="110">
        <f>'Detailed Report'!AU518/1.14</f>
        <v>0</v>
      </c>
      <c r="S522" s="110">
        <f>'Detailed Report'!AU518-'........... - Otlob'!R522</f>
        <v>0</v>
      </c>
    </row>
    <row r="523" spans="1:19" ht="14.45" customHeight="1" x14ac:dyDescent="0.25">
      <c r="A523" s="105">
        <f>+IF(B523="","",SUBTOTAL(3,B$8:B523))</f>
        <v>516</v>
      </c>
      <c r="B523" s="106" t="str">
        <f>'Detailed Report'!O519</f>
        <v>Fuddruckers - New Maadi</v>
      </c>
      <c r="C523" s="107">
        <f>TRUNC('Detailed Report'!Q519,0)</f>
        <v>46040</v>
      </c>
      <c r="D523" s="108">
        <f>'Detailed Report'!P519</f>
        <v>3406480656</v>
      </c>
      <c r="E523" s="106" t="str">
        <f>'Detailed Report'!S519</f>
        <v>Successful</v>
      </c>
      <c r="F523" s="109">
        <f>IF(E523=$E$6,('Detailed Report'!Y519),IF(E523=$E$5,(0),0))</f>
        <v>541.96</v>
      </c>
      <c r="G523" s="106">
        <f>IF(E523=$E$6,('Detailed Report'!AQ519),IF(E523=$E$5,('Detailed Report'!AW519),0))</f>
        <v>475.40350999999998</v>
      </c>
      <c r="H523" s="106">
        <f>'Detailed Report'!AS519</f>
        <v>118.85088</v>
      </c>
      <c r="I523" s="106">
        <f>'Detailed Report'!AT519</f>
        <v>16.6391232</v>
      </c>
      <c r="J523" s="106">
        <f>'Detailed Report'!AO519</f>
        <v>0</v>
      </c>
      <c r="K523" s="106">
        <f>'Detailed Report'!AP519</f>
        <v>0</v>
      </c>
      <c r="L523" s="106">
        <f>'Detailed Report'!AU519/1.14</f>
        <v>0</v>
      </c>
      <c r="M523" s="106">
        <f>'Detailed Report'!AU519-L523</f>
        <v>0</v>
      </c>
      <c r="N523" s="110">
        <f>'Detailed Report'!AW519</f>
        <v>406.47</v>
      </c>
      <c r="O523" s="111">
        <f t="shared" si="54"/>
        <v>68.933509999999956</v>
      </c>
      <c r="P523" s="110">
        <f>'Detailed Report'!AM519</f>
        <v>0</v>
      </c>
      <c r="Q523" s="110">
        <f>'Detailed Report'!AN519</f>
        <v>0</v>
      </c>
      <c r="R523" s="110">
        <f>'Detailed Report'!AU519/1.14</f>
        <v>0</v>
      </c>
      <c r="S523" s="110">
        <f>'Detailed Report'!AU519-'........... - Otlob'!R523</f>
        <v>0</v>
      </c>
    </row>
    <row r="524" spans="1:19" ht="14.45" customHeight="1" x14ac:dyDescent="0.25">
      <c r="A524" s="105">
        <f>+IF(B524="","",SUBTOTAL(3,B$8:B524))</f>
        <v>517</v>
      </c>
      <c r="B524" s="106" t="str">
        <f>'Detailed Report'!O520</f>
        <v>Fuddruckers - Concord Plaza Mall</v>
      </c>
      <c r="C524" s="107">
        <f>TRUNC('Detailed Report'!Q520,0)</f>
        <v>46040</v>
      </c>
      <c r="D524" s="108">
        <f>'Detailed Report'!P520</f>
        <v>3406509867</v>
      </c>
      <c r="E524" s="106" t="str">
        <f>'Detailed Report'!S520</f>
        <v>Successful</v>
      </c>
      <c r="F524" s="109">
        <f>IF(E524=$E$6,('Detailed Report'!Y520),IF(E524=$E$5,(0),0))</f>
        <v>355.99</v>
      </c>
      <c r="G524" s="106">
        <f>IF(E524=$E$6,('Detailed Report'!AQ520),IF(E524=$E$5,('Detailed Report'!AW520),0))</f>
        <v>312.27193</v>
      </c>
      <c r="H524" s="106">
        <f>'Detailed Report'!AS520</f>
        <v>78.067980000000006</v>
      </c>
      <c r="I524" s="106">
        <f>'Detailed Report'!AT520</f>
        <v>10.929517199999999</v>
      </c>
      <c r="J524" s="106">
        <f>'Detailed Report'!AO520</f>
        <v>6.2298249999999999</v>
      </c>
      <c r="K524" s="106">
        <f>'Detailed Report'!AP520</f>
        <v>0.87217549999999999</v>
      </c>
      <c r="L524" s="106">
        <f>'Detailed Report'!AU520/1.14</f>
        <v>0</v>
      </c>
      <c r="M524" s="106">
        <f>'Detailed Report'!AU520-L524</f>
        <v>0</v>
      </c>
      <c r="N524" s="110">
        <f>'Detailed Report'!AW520</f>
        <v>259.89100000000002</v>
      </c>
      <c r="O524" s="111">
        <f t="shared" si="54"/>
        <v>52.380929999999978</v>
      </c>
      <c r="P524" s="110">
        <f>'Detailed Report'!AM520</f>
        <v>0</v>
      </c>
      <c r="Q524" s="110">
        <f>'Detailed Report'!AN520</f>
        <v>0</v>
      </c>
      <c r="R524" s="110">
        <f>'Detailed Report'!AU520/1.14</f>
        <v>0</v>
      </c>
      <c r="S524" s="110">
        <f>'Detailed Report'!AU520-'........... - Otlob'!R524</f>
        <v>0</v>
      </c>
    </row>
    <row r="525" spans="1:19" ht="14.45" customHeight="1" x14ac:dyDescent="0.25">
      <c r="A525" s="105">
        <f>+IF(B525="","",SUBTOTAL(3,B$8:B525))</f>
        <v>518</v>
      </c>
      <c r="B525" s="106" t="str">
        <f>'Detailed Report'!O521</f>
        <v>Fuddruckers - New Maadi</v>
      </c>
      <c r="C525" s="107">
        <f>TRUNC('Detailed Report'!Q521,0)</f>
        <v>46040</v>
      </c>
      <c r="D525" s="108">
        <f>'Detailed Report'!P521</f>
        <v>3406541803</v>
      </c>
      <c r="E525" s="106" t="str">
        <f>'Detailed Report'!S521</f>
        <v>Successful</v>
      </c>
      <c r="F525" s="109">
        <f>IF(E525=$E$6,('Detailed Report'!Y521),IF(E525=$E$5,(0),0))</f>
        <v>370.33</v>
      </c>
      <c r="G525" s="106">
        <f>IF(E525=$E$6,('Detailed Report'!AQ521),IF(E525=$E$5,('Detailed Report'!AW521),0))</f>
        <v>324.85088000000002</v>
      </c>
      <c r="H525" s="106">
        <f>'Detailed Report'!AS521</f>
        <v>81.212720000000004</v>
      </c>
      <c r="I525" s="106">
        <f>'Detailed Report'!AT521</f>
        <v>11.369780799999999</v>
      </c>
      <c r="J525" s="106">
        <f>'Detailed Report'!AO521</f>
        <v>6.4807750000000004</v>
      </c>
      <c r="K525" s="106">
        <f>'Detailed Report'!AP521</f>
        <v>0.90730849999999996</v>
      </c>
      <c r="L525" s="106">
        <f>'Detailed Report'!AU521/1.14</f>
        <v>0</v>
      </c>
      <c r="M525" s="106">
        <f>'Detailed Report'!AU521-L525</f>
        <v>0</v>
      </c>
      <c r="N525" s="110">
        <f>'Detailed Report'!AW521</f>
        <v>270.35899999999998</v>
      </c>
      <c r="O525" s="111">
        <f t="shared" si="54"/>
        <v>54.491880000000037</v>
      </c>
      <c r="P525" s="110">
        <f>'Detailed Report'!AM521</f>
        <v>0</v>
      </c>
      <c r="Q525" s="110">
        <f>'Detailed Report'!AN521</f>
        <v>0</v>
      </c>
      <c r="R525" s="110">
        <f>'Detailed Report'!AU521/1.14</f>
        <v>0</v>
      </c>
      <c r="S525" s="110">
        <f>'Detailed Report'!AU521-'........... - Otlob'!R525</f>
        <v>0</v>
      </c>
    </row>
    <row r="526" spans="1:19" ht="14.45" customHeight="1" x14ac:dyDescent="0.25">
      <c r="A526" s="105">
        <f>+IF(B526="","",SUBTOTAL(3,B$8:B526))</f>
        <v>519</v>
      </c>
      <c r="B526" s="106" t="str">
        <f>'Detailed Report'!O522</f>
        <v>Fuddruckers - City Stars</v>
      </c>
      <c r="C526" s="107">
        <f>TRUNC('Detailed Report'!Q522,0)</f>
        <v>46040</v>
      </c>
      <c r="D526" s="108">
        <f>'Detailed Report'!P522</f>
        <v>3406549497</v>
      </c>
      <c r="E526" s="106" t="str">
        <f>'Detailed Report'!S522</f>
        <v>Successful</v>
      </c>
      <c r="F526" s="109">
        <f>IF(E526=$E$6,('Detailed Report'!Y522),IF(E526=$E$5,(0),0))</f>
        <v>785.98</v>
      </c>
      <c r="G526" s="106">
        <f>IF(E526=$E$6,('Detailed Report'!AQ522),IF(E526=$E$5,('Detailed Report'!AW522),0))</f>
        <v>689.45614</v>
      </c>
      <c r="H526" s="106">
        <f>'Detailed Report'!AS522</f>
        <v>172.36403999999999</v>
      </c>
      <c r="I526" s="106">
        <f>'Detailed Report'!AT522</f>
        <v>24.1309656</v>
      </c>
      <c r="J526" s="106">
        <f>'Detailed Report'!AO522</f>
        <v>13.75465</v>
      </c>
      <c r="K526" s="106">
        <f>'Detailed Report'!AP522</f>
        <v>1.925651</v>
      </c>
      <c r="L526" s="106">
        <f>'Detailed Report'!AU522/1.14</f>
        <v>25.42982456140351</v>
      </c>
      <c r="M526" s="106">
        <f>'Detailed Report'!AU522-L526</f>
        <v>3.5601754385964881</v>
      </c>
      <c r="N526" s="110">
        <f>'Detailed Report'!AW522</f>
        <v>544.81500000000005</v>
      </c>
      <c r="O526" s="111">
        <f t="shared" si="54"/>
        <v>144.64113999999995</v>
      </c>
      <c r="P526" s="110">
        <f>'Detailed Report'!AM522</f>
        <v>0</v>
      </c>
      <c r="Q526" s="110">
        <f>'Detailed Report'!AN522</f>
        <v>0</v>
      </c>
      <c r="R526" s="110">
        <f>'Detailed Report'!AU522/1.14</f>
        <v>25.42982456140351</v>
      </c>
      <c r="S526" s="110">
        <f>'Detailed Report'!AU522-'........... - Otlob'!R526</f>
        <v>3.5601754385964881</v>
      </c>
    </row>
    <row r="527" spans="1:19" ht="14.45" customHeight="1" x14ac:dyDescent="0.25">
      <c r="A527" s="105">
        <f>+IF(B527="","",SUBTOTAL(3,B$8:B527))</f>
        <v>520</v>
      </c>
      <c r="B527" s="106" t="str">
        <f>'Detailed Report'!O523</f>
        <v>Fuddruckers - Concord Plaza Mall</v>
      </c>
      <c r="C527" s="107">
        <f>TRUNC('Detailed Report'!Q523,0)</f>
        <v>46040</v>
      </c>
      <c r="D527" s="108">
        <f>'Detailed Report'!P523</f>
        <v>3406699820</v>
      </c>
      <c r="E527" s="106" t="str">
        <f>'Detailed Report'!S523</f>
        <v>Successful</v>
      </c>
      <c r="F527" s="109">
        <f>IF(E527=$E$6,('Detailed Report'!Y523),IF(E527=$E$5,(0),0))</f>
        <v>1206.32</v>
      </c>
      <c r="G527" s="106">
        <f>IF(E527=$E$6,('Detailed Report'!AQ523),IF(E527=$E$5,('Detailed Report'!AW523),0))</f>
        <v>1058.17544</v>
      </c>
      <c r="H527" s="106">
        <f>'Detailed Report'!AS523</f>
        <v>264.54386</v>
      </c>
      <c r="I527" s="106">
        <f>'Detailed Report'!AT523</f>
        <v>37.036140400000001</v>
      </c>
      <c r="J527" s="106">
        <f>'Detailed Report'!AO523</f>
        <v>21.110600000000002</v>
      </c>
      <c r="K527" s="106">
        <f>'Detailed Report'!AP523</f>
        <v>2.9554840000000002</v>
      </c>
      <c r="L527" s="106">
        <f>'Detailed Report'!AU523/1.14</f>
        <v>0</v>
      </c>
      <c r="M527" s="106">
        <f>'Detailed Report'!AU523-L527</f>
        <v>0</v>
      </c>
      <c r="N527" s="110">
        <f>'Detailed Report'!AW523</f>
        <v>880.67399999999998</v>
      </c>
      <c r="O527" s="111">
        <f t="shared" si="54"/>
        <v>177.50144</v>
      </c>
      <c r="P527" s="110">
        <f>'Detailed Report'!AM523</f>
        <v>0</v>
      </c>
      <c r="Q527" s="110">
        <f>'Detailed Report'!AN523</f>
        <v>0</v>
      </c>
      <c r="R527" s="110">
        <f>'Detailed Report'!AU523/1.14</f>
        <v>0</v>
      </c>
      <c r="S527" s="110">
        <f>'Detailed Report'!AU523-'........... - Otlob'!R527</f>
        <v>0</v>
      </c>
    </row>
    <row r="528" spans="1:19" ht="14.45" customHeight="1" x14ac:dyDescent="0.25">
      <c r="A528" s="105">
        <f>+IF(B528="","",SUBTOTAL(3,B$8:B528))</f>
        <v>521</v>
      </c>
      <c r="B528" s="106" t="str">
        <f>'Detailed Report'!O524</f>
        <v>Fuddruckers - New Maadi</v>
      </c>
      <c r="C528" s="107">
        <f>TRUNC('Detailed Report'!Q524,0)</f>
        <v>46040</v>
      </c>
      <c r="D528" s="108">
        <f>'Detailed Report'!P524</f>
        <v>3406732001</v>
      </c>
      <c r="E528" s="106" t="str">
        <f>'Detailed Report'!S524</f>
        <v>Successful</v>
      </c>
      <c r="F528" s="109">
        <f>IF(E528=$E$6,('Detailed Report'!Y524),IF(E528=$E$5,(0),0))</f>
        <v>263.99</v>
      </c>
      <c r="G528" s="106">
        <f>IF(E528=$E$6,('Detailed Report'!AQ524),IF(E528=$E$5,('Detailed Report'!AW524),0))</f>
        <v>231.57017999999999</v>
      </c>
      <c r="H528" s="106">
        <f>'Detailed Report'!AS524</f>
        <v>57.89255</v>
      </c>
      <c r="I528" s="106">
        <f>'Detailed Report'!AT524</f>
        <v>8.1049570000000006</v>
      </c>
      <c r="J528" s="106">
        <f>'Detailed Report'!AO524</f>
        <v>4.6198249999999996</v>
      </c>
      <c r="K528" s="106">
        <f>'Detailed Report'!AP524</f>
        <v>0.64677549999999995</v>
      </c>
      <c r="L528" s="106">
        <f>'Detailed Report'!AU524/1.14</f>
        <v>0</v>
      </c>
      <c r="M528" s="106">
        <f>'Detailed Report'!AU524-L528</f>
        <v>0</v>
      </c>
      <c r="N528" s="110">
        <f>'Detailed Report'!AW524</f>
        <v>192.726</v>
      </c>
      <c r="O528" s="111">
        <f t="shared" si="54"/>
        <v>38.844179999999994</v>
      </c>
      <c r="P528" s="110">
        <f>'Detailed Report'!AM524</f>
        <v>0</v>
      </c>
      <c r="Q528" s="110">
        <f>'Detailed Report'!AN524</f>
        <v>0</v>
      </c>
      <c r="R528" s="110">
        <f>'Detailed Report'!AU524/1.14</f>
        <v>0</v>
      </c>
      <c r="S528" s="110">
        <f>'Detailed Report'!AU524-'........... - Otlob'!R528</f>
        <v>0</v>
      </c>
    </row>
    <row r="529" spans="1:19" ht="14.45" customHeight="1" x14ac:dyDescent="0.25">
      <c r="A529" s="105">
        <f>+IF(B529="","",SUBTOTAL(3,B$8:B529))</f>
        <v>522</v>
      </c>
      <c r="B529" s="106" t="str">
        <f>'Detailed Report'!O525</f>
        <v>Fuddruckers - New Maadi</v>
      </c>
      <c r="C529" s="107">
        <f>TRUNC('Detailed Report'!Q525,0)</f>
        <v>46040</v>
      </c>
      <c r="D529" s="108">
        <f>'Detailed Report'!P525</f>
        <v>3406748303</v>
      </c>
      <c r="E529" s="106" t="str">
        <f>'Detailed Report'!S525</f>
        <v>Successful</v>
      </c>
      <c r="F529" s="109">
        <f>IF(E529=$E$6,('Detailed Report'!Y525),IF(E529=$E$5,(0),0))</f>
        <v>341.58</v>
      </c>
      <c r="G529" s="106">
        <f>IF(E529=$E$6,('Detailed Report'!AQ525),IF(E529=$E$5,('Detailed Report'!AW525),0))</f>
        <v>299.63157999999999</v>
      </c>
      <c r="H529" s="106">
        <f>'Detailed Report'!AS525</f>
        <v>74.907899999999998</v>
      </c>
      <c r="I529" s="106">
        <f>'Detailed Report'!AT525</f>
        <v>10.487106000000001</v>
      </c>
      <c r="J529" s="106">
        <f>'Detailed Report'!AO525</f>
        <v>5.9776499999999997</v>
      </c>
      <c r="K529" s="106">
        <f>'Detailed Report'!AP525</f>
        <v>0.83687100000000003</v>
      </c>
      <c r="L529" s="106">
        <f>'Detailed Report'!AU525/1.14</f>
        <v>27.184210526315791</v>
      </c>
      <c r="M529" s="106">
        <f>'Detailed Report'!AU525-L529</f>
        <v>3.8057894736842073</v>
      </c>
      <c r="N529" s="110">
        <f>'Detailed Report'!AW525</f>
        <v>218.38</v>
      </c>
      <c r="O529" s="111">
        <f t="shared" si="54"/>
        <v>81.25157999999999</v>
      </c>
      <c r="P529" s="110">
        <f>'Detailed Report'!AM525</f>
        <v>0</v>
      </c>
      <c r="Q529" s="110">
        <f>'Detailed Report'!AN525</f>
        <v>0</v>
      </c>
      <c r="R529" s="110">
        <f>'Detailed Report'!AU525/1.14</f>
        <v>27.184210526315791</v>
      </c>
      <c r="S529" s="110">
        <f>'Detailed Report'!AU525-'........... - Otlob'!R529</f>
        <v>3.8057894736842073</v>
      </c>
    </row>
    <row r="530" spans="1:19" ht="14.45" customHeight="1" x14ac:dyDescent="0.25">
      <c r="A530" s="105">
        <f>+IF(B530="","",SUBTOTAL(3,B$8:B530))</f>
        <v>523</v>
      </c>
      <c r="B530" s="106" t="str">
        <f>'Detailed Report'!O526</f>
        <v>Fuddruckers - Concord Plaza Mall</v>
      </c>
      <c r="C530" s="107">
        <f>TRUNC('Detailed Report'!Q526,0)</f>
        <v>46040</v>
      </c>
      <c r="D530" s="108">
        <f>'Detailed Report'!P526</f>
        <v>3406765923</v>
      </c>
      <c r="E530" s="106" t="str">
        <f>'Detailed Report'!S526</f>
        <v>Successful</v>
      </c>
      <c r="F530" s="109">
        <f>IF(E530=$E$6,('Detailed Report'!Y526),IF(E530=$E$5,(0),0))</f>
        <v>249.99</v>
      </c>
      <c r="G530" s="106">
        <f>IF(E530=$E$6,('Detailed Report'!AQ526),IF(E530=$E$5,('Detailed Report'!AW526),0))</f>
        <v>219.28946999999999</v>
      </c>
      <c r="H530" s="106">
        <f>'Detailed Report'!AS526</f>
        <v>54.822369999999999</v>
      </c>
      <c r="I530" s="106">
        <f>'Detailed Report'!AT526</f>
        <v>7.6751317999999999</v>
      </c>
      <c r="J530" s="106">
        <f>'Detailed Report'!AO526</f>
        <v>4.3748250000000004</v>
      </c>
      <c r="K530" s="106">
        <f>'Detailed Report'!AP526</f>
        <v>0.61247549999999995</v>
      </c>
      <c r="L530" s="106">
        <f>'Detailed Report'!AU526/1.14</f>
        <v>27.184210526315791</v>
      </c>
      <c r="M530" s="106">
        <f>'Detailed Report'!AU526-L530</f>
        <v>3.8057894736842073</v>
      </c>
      <c r="N530" s="110">
        <f>'Detailed Report'!AW526</f>
        <v>151.51499999999999</v>
      </c>
      <c r="O530" s="111">
        <f t="shared" si="54"/>
        <v>67.774470000000008</v>
      </c>
      <c r="P530" s="110">
        <f>'Detailed Report'!AM526</f>
        <v>0</v>
      </c>
      <c r="Q530" s="110">
        <f>'Detailed Report'!AN526</f>
        <v>0</v>
      </c>
      <c r="R530" s="110">
        <f>'Detailed Report'!AU526/1.14</f>
        <v>27.184210526315791</v>
      </c>
      <c r="S530" s="110">
        <f>'Detailed Report'!AU526-'........... - Otlob'!R530</f>
        <v>3.8057894736842073</v>
      </c>
    </row>
    <row r="531" spans="1:19" ht="14.45" customHeight="1" x14ac:dyDescent="0.25">
      <c r="A531" s="105">
        <f>+IF(B531="","",SUBTOTAL(3,B$8:B531))</f>
        <v>524</v>
      </c>
      <c r="B531" s="106" t="str">
        <f>'Detailed Report'!O527</f>
        <v>Fuddruckers - New Maadi</v>
      </c>
      <c r="C531" s="107">
        <f>TRUNC('Detailed Report'!Q527,0)</f>
        <v>46040</v>
      </c>
      <c r="D531" s="108">
        <f>'Detailed Report'!P527</f>
        <v>3406775885</v>
      </c>
      <c r="E531" s="106" t="str">
        <f>'Detailed Report'!S527</f>
        <v>Successful</v>
      </c>
      <c r="F531" s="109">
        <f>IF(E531=$E$6,('Detailed Report'!Y527),IF(E531=$E$5,(0),0))</f>
        <v>693.98</v>
      </c>
      <c r="G531" s="106">
        <f>IF(E531=$E$6,('Detailed Report'!AQ527),IF(E531=$E$5,('Detailed Report'!AW527),0))</f>
        <v>608.75438999999994</v>
      </c>
      <c r="H531" s="106">
        <f>'Detailed Report'!AS527</f>
        <v>152.18860000000001</v>
      </c>
      <c r="I531" s="106">
        <f>'Detailed Report'!AT527</f>
        <v>21.306404000000001</v>
      </c>
      <c r="J531" s="106">
        <f>'Detailed Report'!AO527</f>
        <v>12.14465</v>
      </c>
      <c r="K531" s="106">
        <f>'Detailed Report'!AP527</f>
        <v>1.700251</v>
      </c>
      <c r="L531" s="106">
        <f>'Detailed Report'!AU527/1.14</f>
        <v>25.42982456140351</v>
      </c>
      <c r="M531" s="106">
        <f>'Detailed Report'!AU527-L531</f>
        <v>3.5601754385964881</v>
      </c>
      <c r="N531" s="110">
        <f>'Detailed Report'!AW527</f>
        <v>477.65</v>
      </c>
      <c r="O531" s="111">
        <f t="shared" si="54"/>
        <v>131.10438999999997</v>
      </c>
      <c r="P531" s="110">
        <f>'Detailed Report'!AM527</f>
        <v>0</v>
      </c>
      <c r="Q531" s="110">
        <f>'Detailed Report'!AN527</f>
        <v>0</v>
      </c>
      <c r="R531" s="110">
        <f>'Detailed Report'!AU527/1.14</f>
        <v>25.42982456140351</v>
      </c>
      <c r="S531" s="110">
        <f>'Detailed Report'!AU527-'........... - Otlob'!R531</f>
        <v>3.5601754385964881</v>
      </c>
    </row>
    <row r="532" spans="1:19" ht="14.45" customHeight="1" x14ac:dyDescent="0.25">
      <c r="A532" s="105">
        <f>+IF(B532="","",SUBTOTAL(3,B$8:B532))</f>
        <v>525</v>
      </c>
      <c r="B532" s="106" t="str">
        <f>'Detailed Report'!O528</f>
        <v>Fuddruckers - Concord Plaza Mall</v>
      </c>
      <c r="C532" s="107">
        <f>TRUNC('Detailed Report'!Q528,0)</f>
        <v>46040</v>
      </c>
      <c r="D532" s="108">
        <f>'Detailed Report'!P528</f>
        <v>3406819190</v>
      </c>
      <c r="E532" s="106" t="str">
        <f>'Detailed Report'!S528</f>
        <v>Successful</v>
      </c>
      <c r="F532" s="109">
        <f>IF(E532=$E$6,('Detailed Report'!Y528),IF(E532=$E$5,(0),0))</f>
        <v>453.96</v>
      </c>
      <c r="G532" s="106">
        <f>IF(E532=$E$6,('Detailed Report'!AQ528),IF(E532=$E$5,('Detailed Report'!AW528),0))</f>
        <v>398.21053000000001</v>
      </c>
      <c r="H532" s="106">
        <f>'Detailed Report'!AS528</f>
        <v>99.552629999999994</v>
      </c>
      <c r="I532" s="106">
        <f>'Detailed Report'!AT528</f>
        <v>13.9373682</v>
      </c>
      <c r="J532" s="106">
        <f>'Detailed Report'!AO528</f>
        <v>7.9443000000000001</v>
      </c>
      <c r="K532" s="106">
        <f>'Detailed Report'!AP528</f>
        <v>1.1122019999999999</v>
      </c>
      <c r="L532" s="106">
        <f>'Detailed Report'!AU528/1.14</f>
        <v>28.938596491228076</v>
      </c>
      <c r="M532" s="106">
        <f>'Detailed Report'!AU528-L532</f>
        <v>4.0514035087719265</v>
      </c>
      <c r="N532" s="110">
        <f>'Detailed Report'!AW528</f>
        <v>298.423</v>
      </c>
      <c r="O532" s="111">
        <f t="shared" si="54"/>
        <v>99.787530000000004</v>
      </c>
      <c r="P532" s="110">
        <f>'Detailed Report'!AM528</f>
        <v>0</v>
      </c>
      <c r="Q532" s="110">
        <f>'Detailed Report'!AN528</f>
        <v>0</v>
      </c>
      <c r="R532" s="110">
        <f>'Detailed Report'!AU528/1.14</f>
        <v>28.938596491228076</v>
      </c>
      <c r="S532" s="110">
        <f>'Detailed Report'!AU528-'........... - Otlob'!R532</f>
        <v>4.0514035087719265</v>
      </c>
    </row>
    <row r="533" spans="1:19" ht="14.45" customHeight="1" x14ac:dyDescent="0.25">
      <c r="A533" s="105">
        <f>+IF(B533="","",SUBTOTAL(3,B$8:B533))</f>
        <v>526</v>
      </c>
      <c r="B533" s="106" t="str">
        <f>'Detailed Report'!O529</f>
        <v>Fuddruckers - Concord Plaza Mall</v>
      </c>
      <c r="C533" s="107">
        <f>TRUNC('Detailed Report'!Q529,0)</f>
        <v>46040</v>
      </c>
      <c r="D533" s="108">
        <f>'Detailed Report'!P529</f>
        <v>3406897577</v>
      </c>
      <c r="E533" s="106" t="str">
        <f>'Detailed Report'!S529</f>
        <v>Successful</v>
      </c>
      <c r="F533" s="109">
        <f>IF(E533=$E$6,('Detailed Report'!Y529),IF(E533=$E$5,(0),0))</f>
        <v>353.99</v>
      </c>
      <c r="G533" s="106">
        <f>IF(E533=$E$6,('Detailed Report'!AQ529),IF(E533=$E$5,('Detailed Report'!AW529),0))</f>
        <v>310.51754</v>
      </c>
      <c r="H533" s="106">
        <f>'Detailed Report'!AS529</f>
        <v>77.629390000000001</v>
      </c>
      <c r="I533" s="106">
        <f>'Detailed Report'!AT529</f>
        <v>10.8681146</v>
      </c>
      <c r="J533" s="106">
        <f>'Detailed Report'!AO529</f>
        <v>6.1948249999999998</v>
      </c>
      <c r="K533" s="106">
        <f>'Detailed Report'!AP529</f>
        <v>0.86727549999999998</v>
      </c>
      <c r="L533" s="106">
        <f>'Detailed Report'!AU529/1.14</f>
        <v>31.570175438596497</v>
      </c>
      <c r="M533" s="106">
        <f>'Detailed Report'!AU529-L533</f>
        <v>4.4198245614035052</v>
      </c>
      <c r="N533" s="110">
        <f>'Detailed Report'!AW529</f>
        <v>222.44</v>
      </c>
      <c r="O533" s="111">
        <f t="shared" si="54"/>
        <v>88.077539999999999</v>
      </c>
      <c r="P533" s="110">
        <f>'Detailed Report'!AM529</f>
        <v>0</v>
      </c>
      <c r="Q533" s="110">
        <f>'Detailed Report'!AN529</f>
        <v>0</v>
      </c>
      <c r="R533" s="110">
        <f>'Detailed Report'!AU529/1.14</f>
        <v>31.570175438596497</v>
      </c>
      <c r="S533" s="110">
        <f>'Detailed Report'!AU529-'........... - Otlob'!R533</f>
        <v>4.4198245614035052</v>
      </c>
    </row>
    <row r="534" spans="1:19" ht="14.45" customHeight="1" x14ac:dyDescent="0.25">
      <c r="A534" s="105">
        <f>+IF(B534="","",SUBTOTAL(3,B$8:B534))</f>
        <v>527</v>
      </c>
      <c r="B534" s="106" t="str">
        <f>'Detailed Report'!O530</f>
        <v>Fuddruckers - New Maadi</v>
      </c>
      <c r="C534" s="107">
        <f>TRUNC('Detailed Report'!Q530,0)</f>
        <v>46040</v>
      </c>
      <c r="D534" s="108">
        <f>'Detailed Report'!P530</f>
        <v>3406905356</v>
      </c>
      <c r="E534" s="106" t="str">
        <f>'Detailed Report'!S530</f>
        <v>Successful</v>
      </c>
      <c r="F534" s="109">
        <f>IF(E534=$E$6,('Detailed Report'!Y530),IF(E534=$E$5,(0),0))</f>
        <v>336.99</v>
      </c>
      <c r="G534" s="106">
        <f>IF(E534=$E$6,('Detailed Report'!AQ530),IF(E534=$E$5,('Detailed Report'!AW530),0))</f>
        <v>295.60525999999999</v>
      </c>
      <c r="H534" s="106">
        <f>'Detailed Report'!AS530</f>
        <v>73.901319999999998</v>
      </c>
      <c r="I534" s="106">
        <f>'Detailed Report'!AT530</f>
        <v>10.3461848</v>
      </c>
      <c r="J534" s="106">
        <f>'Detailed Report'!AO530</f>
        <v>5.8973250000000004</v>
      </c>
      <c r="K534" s="106">
        <f>'Detailed Report'!AP530</f>
        <v>0.82562550000000001</v>
      </c>
      <c r="L534" s="106">
        <f>'Detailed Report'!AU530/1.14</f>
        <v>26.307017543859651</v>
      </c>
      <c r="M534" s="106">
        <f>'Detailed Report'!AU530-L534</f>
        <v>3.6829824561403477</v>
      </c>
      <c r="N534" s="110">
        <f>'Detailed Report'!AW530</f>
        <v>216.03</v>
      </c>
      <c r="O534" s="111">
        <f t="shared" si="54"/>
        <v>79.575259999999986</v>
      </c>
      <c r="P534" s="110">
        <f>'Detailed Report'!AM530</f>
        <v>0</v>
      </c>
      <c r="Q534" s="110">
        <f>'Detailed Report'!AN530</f>
        <v>0</v>
      </c>
      <c r="R534" s="110">
        <f>'Detailed Report'!AU530/1.14</f>
        <v>26.307017543859651</v>
      </c>
      <c r="S534" s="110">
        <f>'Detailed Report'!AU530-'........... - Otlob'!R534</f>
        <v>3.6829824561403477</v>
      </c>
    </row>
    <row r="535" spans="1:19" ht="14.45" customHeight="1" x14ac:dyDescent="0.25">
      <c r="A535" s="105">
        <f>+IF(B535="","",SUBTOTAL(3,B$8:B535))</f>
        <v>528</v>
      </c>
      <c r="B535" s="106" t="str">
        <f>'Detailed Report'!O531</f>
        <v>Fuddruckers - City Stars</v>
      </c>
      <c r="C535" s="107">
        <f>TRUNC('Detailed Report'!Q531,0)</f>
        <v>46040</v>
      </c>
      <c r="D535" s="108">
        <f>'Detailed Report'!P531</f>
        <v>3406940596</v>
      </c>
      <c r="E535" s="106" t="str">
        <f>'Detailed Report'!S531</f>
        <v>Successful</v>
      </c>
      <c r="F535" s="109">
        <f>IF(E535=$E$6,('Detailed Report'!Y531),IF(E535=$E$5,(0),0))</f>
        <v>412.48</v>
      </c>
      <c r="G535" s="106">
        <f>IF(E535=$E$6,('Detailed Report'!AQ531),IF(E535=$E$5,('Detailed Report'!AW531),0))</f>
        <v>361.82456000000002</v>
      </c>
      <c r="H535" s="106">
        <f>'Detailed Report'!AS531</f>
        <v>90.456140000000005</v>
      </c>
      <c r="I535" s="106">
        <f>'Detailed Report'!AT531</f>
        <v>12.6638596</v>
      </c>
      <c r="J535" s="106">
        <f>'Detailed Report'!AO531</f>
        <v>7.2183999999999999</v>
      </c>
      <c r="K535" s="106">
        <f>'Detailed Report'!AP531</f>
        <v>1.0105759999999999</v>
      </c>
      <c r="L535" s="106">
        <f>'Detailed Report'!AU531/1.14</f>
        <v>23.67543859649123</v>
      </c>
      <c r="M535" s="106">
        <f>'Detailed Report'!AU531-L535</f>
        <v>3.3145614035087689</v>
      </c>
      <c r="N535" s="110">
        <f>'Detailed Report'!AW531</f>
        <v>274.14100000000002</v>
      </c>
      <c r="O535" s="111">
        <f t="shared" si="54"/>
        <v>87.68356</v>
      </c>
      <c r="P535" s="110">
        <f>'Detailed Report'!AM531</f>
        <v>0</v>
      </c>
      <c r="Q535" s="110">
        <f>'Detailed Report'!AN531</f>
        <v>0</v>
      </c>
      <c r="R535" s="110">
        <f>'Detailed Report'!AU531/1.14</f>
        <v>23.67543859649123</v>
      </c>
      <c r="S535" s="110">
        <f>'Detailed Report'!AU531-'........... - Otlob'!R535</f>
        <v>3.3145614035087689</v>
      </c>
    </row>
    <row r="536" spans="1:19" ht="14.45" customHeight="1" x14ac:dyDescent="0.25">
      <c r="A536" s="105">
        <f>+IF(B536="","",SUBTOTAL(3,B$8:B536))</f>
        <v>529</v>
      </c>
      <c r="B536" s="106" t="str">
        <f>'Detailed Report'!O532</f>
        <v>Fuddruckers - Concord Plaza Mall</v>
      </c>
      <c r="C536" s="107">
        <f>TRUNC('Detailed Report'!Q532,0)</f>
        <v>46040</v>
      </c>
      <c r="D536" s="108">
        <f>'Detailed Report'!P532</f>
        <v>3406994981</v>
      </c>
      <c r="E536" s="106" t="str">
        <f>'Detailed Report'!S532</f>
        <v>Successful</v>
      </c>
      <c r="F536" s="109">
        <f>IF(E536=$E$6,('Detailed Report'!Y532),IF(E536=$E$5,(0),0))</f>
        <v>444.99</v>
      </c>
      <c r="G536" s="106">
        <f>IF(E536=$E$6,('Detailed Report'!AQ532),IF(E536=$E$5,('Detailed Report'!AW532),0))</f>
        <v>390.34210999999999</v>
      </c>
      <c r="H536" s="106">
        <f>'Detailed Report'!AS532</f>
        <v>97.585530000000006</v>
      </c>
      <c r="I536" s="106">
        <f>'Detailed Report'!AT532</f>
        <v>13.6619742</v>
      </c>
      <c r="J536" s="106">
        <f>'Detailed Report'!AO532</f>
        <v>7.7873250000000001</v>
      </c>
      <c r="K536" s="106">
        <f>'Detailed Report'!AP532</f>
        <v>1.0902255000000001</v>
      </c>
      <c r="L536" s="106">
        <f>'Detailed Report'!AU532/1.14</f>
        <v>27.184210526315791</v>
      </c>
      <c r="M536" s="106">
        <f>'Detailed Report'!AU532-L536</f>
        <v>3.8057894736842073</v>
      </c>
      <c r="N536" s="110">
        <f>'Detailed Report'!AW532</f>
        <v>293.875</v>
      </c>
      <c r="O536" s="111">
        <f t="shared" si="54"/>
        <v>96.467109999999991</v>
      </c>
      <c r="P536" s="110">
        <f>'Detailed Report'!AM532</f>
        <v>0</v>
      </c>
      <c r="Q536" s="110">
        <f>'Detailed Report'!AN532</f>
        <v>0</v>
      </c>
      <c r="R536" s="110">
        <f>'Detailed Report'!AU532/1.14</f>
        <v>27.184210526315791</v>
      </c>
      <c r="S536" s="110">
        <f>'Detailed Report'!AU532-'........... - Otlob'!R536</f>
        <v>3.8057894736842073</v>
      </c>
    </row>
    <row r="537" spans="1:19" ht="14.45" customHeight="1" x14ac:dyDescent="0.25">
      <c r="A537" s="105">
        <f>+IF(B537="","",SUBTOTAL(3,B$8:B537))</f>
        <v>530</v>
      </c>
      <c r="B537" s="106" t="str">
        <f>'Detailed Report'!O533</f>
        <v>Fuddruckers - New Maadi</v>
      </c>
      <c r="C537" s="107">
        <f>TRUNC('Detailed Report'!Q533,0)</f>
        <v>46040</v>
      </c>
      <c r="D537" s="108">
        <f>'Detailed Report'!P533</f>
        <v>3407037596</v>
      </c>
      <c r="E537" s="106" t="str">
        <f>'Detailed Report'!S533</f>
        <v>Successful</v>
      </c>
      <c r="F537" s="109">
        <f>IF(E537=$E$6,('Detailed Report'!Y533),IF(E537=$E$5,(0),0))</f>
        <v>981.72</v>
      </c>
      <c r="G537" s="106">
        <f>IF(E537=$E$6,('Detailed Report'!AQ533),IF(E537=$E$5,('Detailed Report'!AW533),0))</f>
        <v>861.15788999999995</v>
      </c>
      <c r="H537" s="106">
        <f>'Detailed Report'!AS533</f>
        <v>215.28946999999999</v>
      </c>
      <c r="I537" s="106">
        <f>'Detailed Report'!AT533</f>
        <v>30.140525799999999</v>
      </c>
      <c r="J537" s="106">
        <f>'Detailed Report'!AO533</f>
        <v>0</v>
      </c>
      <c r="K537" s="106">
        <f>'Detailed Report'!AP533</f>
        <v>0</v>
      </c>
      <c r="L537" s="106">
        <f>'Detailed Report'!AU533/1.14</f>
        <v>0</v>
      </c>
      <c r="M537" s="106">
        <f>'Detailed Report'!AU533-L537</f>
        <v>0</v>
      </c>
      <c r="N537" s="110">
        <f>'Detailed Report'!AW533</f>
        <v>736.29</v>
      </c>
      <c r="O537" s="111">
        <f t="shared" si="54"/>
        <v>124.86788999999999</v>
      </c>
      <c r="P537" s="110">
        <f>'Detailed Report'!AM533</f>
        <v>0</v>
      </c>
      <c r="Q537" s="110">
        <f>'Detailed Report'!AN533</f>
        <v>0</v>
      </c>
      <c r="R537" s="110">
        <f>'Detailed Report'!AU533/1.14</f>
        <v>0</v>
      </c>
      <c r="S537" s="110">
        <f>'Detailed Report'!AU533-'........... - Otlob'!R537</f>
        <v>0</v>
      </c>
    </row>
    <row r="538" spans="1:19" ht="14.45" customHeight="1" x14ac:dyDescent="0.25">
      <c r="A538" s="105">
        <f>+IF(B538="","",SUBTOTAL(3,B$8:B538))</f>
        <v>531</v>
      </c>
      <c r="B538" s="106" t="str">
        <f>'Detailed Report'!O534</f>
        <v>Fuddruckers - New Maadi</v>
      </c>
      <c r="C538" s="107">
        <f>TRUNC('Detailed Report'!Q534,0)</f>
        <v>46040</v>
      </c>
      <c r="D538" s="108">
        <f>'Detailed Report'!P534</f>
        <v>3407070828</v>
      </c>
      <c r="E538" s="106" t="str">
        <f>'Detailed Report'!S534</f>
        <v>Successful</v>
      </c>
      <c r="F538" s="109">
        <f>IF(E538=$E$6,('Detailed Report'!Y534),IF(E538=$E$5,(0),0))</f>
        <v>769.99</v>
      </c>
      <c r="G538" s="106">
        <f>IF(E538=$E$6,('Detailed Report'!AQ534),IF(E538=$E$5,('Detailed Report'!AW534),0))</f>
        <v>675.42981999999995</v>
      </c>
      <c r="H538" s="106">
        <f>'Detailed Report'!AS534</f>
        <v>168.85746</v>
      </c>
      <c r="I538" s="106">
        <f>'Detailed Report'!AT534</f>
        <v>23.640044400000001</v>
      </c>
      <c r="J538" s="106">
        <f>'Detailed Report'!AO534</f>
        <v>13.474824999999999</v>
      </c>
      <c r="K538" s="106">
        <f>'Detailed Report'!AP534</f>
        <v>1.8864755</v>
      </c>
      <c r="L538" s="106">
        <f>'Detailed Report'!AU534/1.14</f>
        <v>27.184210526315791</v>
      </c>
      <c r="M538" s="106">
        <f>'Detailed Report'!AU534-L538</f>
        <v>3.8057894736842073</v>
      </c>
      <c r="N538" s="110">
        <f>'Detailed Report'!AW534</f>
        <v>531.14099999999996</v>
      </c>
      <c r="O538" s="111">
        <f t="shared" si="54"/>
        <v>144.28881999999999</v>
      </c>
      <c r="P538" s="110">
        <f>'Detailed Report'!AM534</f>
        <v>0</v>
      </c>
      <c r="Q538" s="110">
        <f>'Detailed Report'!AN534</f>
        <v>0</v>
      </c>
      <c r="R538" s="110">
        <f>'Detailed Report'!AU534/1.14</f>
        <v>27.184210526315791</v>
      </c>
      <c r="S538" s="110">
        <f>'Detailed Report'!AU534-'........... - Otlob'!R538</f>
        <v>3.8057894736842073</v>
      </c>
    </row>
    <row r="539" spans="1:19" ht="14.45" customHeight="1" x14ac:dyDescent="0.25">
      <c r="A539" s="105">
        <f>+IF(B539="","",SUBTOTAL(3,B$8:B539))</f>
        <v>532</v>
      </c>
      <c r="B539" s="106" t="str">
        <f>'Detailed Report'!O535</f>
        <v>Fuddruckers - City Stars</v>
      </c>
      <c r="C539" s="107">
        <f>TRUNC('Detailed Report'!Q535,0)</f>
        <v>46040</v>
      </c>
      <c r="D539" s="108">
        <f>'Detailed Report'!P535</f>
        <v>3407123582</v>
      </c>
      <c r="E539" s="106" t="str">
        <f>'Detailed Report'!S535</f>
        <v>Successful</v>
      </c>
      <c r="F539" s="109">
        <f>IF(E539=$E$6,('Detailed Report'!Y535),IF(E539=$E$5,(0),0))</f>
        <v>600.27</v>
      </c>
      <c r="G539" s="106">
        <f>IF(E539=$E$6,('Detailed Report'!AQ535),IF(E539=$E$5,('Detailed Report'!AW535),0))</f>
        <v>526.55263000000002</v>
      </c>
      <c r="H539" s="106">
        <f>'Detailed Report'!AS535</f>
        <v>131.63816</v>
      </c>
      <c r="I539" s="106">
        <f>'Detailed Report'!AT535</f>
        <v>18.429342399999999</v>
      </c>
      <c r="J539" s="106">
        <f>'Detailed Report'!AO535</f>
        <v>0</v>
      </c>
      <c r="K539" s="106">
        <f>'Detailed Report'!AP535</f>
        <v>0</v>
      </c>
      <c r="L539" s="106">
        <f>'Detailed Report'!AU535/1.14</f>
        <v>0</v>
      </c>
      <c r="M539" s="106">
        <f>'Detailed Report'!AU535-L539</f>
        <v>0</v>
      </c>
      <c r="N539" s="110">
        <f>'Detailed Report'!AW535</f>
        <v>450.202</v>
      </c>
      <c r="O539" s="111">
        <f t="shared" si="54"/>
        <v>76.350630000000024</v>
      </c>
      <c r="P539" s="110">
        <f>'Detailed Report'!AM535</f>
        <v>0</v>
      </c>
      <c r="Q539" s="110">
        <f>'Detailed Report'!AN535</f>
        <v>0</v>
      </c>
      <c r="R539" s="110">
        <f>'Detailed Report'!AU535/1.14</f>
        <v>0</v>
      </c>
      <c r="S539" s="110">
        <f>'Detailed Report'!AU535-'........... - Otlob'!R539</f>
        <v>0</v>
      </c>
    </row>
    <row r="540" spans="1:19" ht="14.45" customHeight="1" x14ac:dyDescent="0.25">
      <c r="A540" s="105">
        <f>+IF(B540="","",SUBTOTAL(3,B$8:B540))</f>
        <v>533</v>
      </c>
      <c r="B540" s="106" t="str">
        <f>'Detailed Report'!O536</f>
        <v>Fuddruckers - Concord Plaza Mall</v>
      </c>
      <c r="C540" s="107">
        <f>TRUNC('Detailed Report'!Q536,0)</f>
        <v>46040</v>
      </c>
      <c r="D540" s="108">
        <f>'Detailed Report'!P536</f>
        <v>3407142597</v>
      </c>
      <c r="E540" s="106" t="str">
        <f>'Detailed Report'!S536</f>
        <v>Successful</v>
      </c>
      <c r="F540" s="109">
        <f>IF(E540=$E$6,('Detailed Report'!Y536),IF(E540=$E$5,(0),0))</f>
        <v>563.16</v>
      </c>
      <c r="G540" s="106">
        <f>IF(E540=$E$6,('Detailed Report'!AQ536),IF(E540=$E$5,('Detailed Report'!AW536),0))</f>
        <v>494</v>
      </c>
      <c r="H540" s="106">
        <f>'Detailed Report'!AS536</f>
        <v>123.5</v>
      </c>
      <c r="I540" s="106">
        <f>'Detailed Report'!AT536</f>
        <v>17.29</v>
      </c>
      <c r="J540" s="106">
        <f>'Detailed Report'!AO536</f>
        <v>9.8552999999999997</v>
      </c>
      <c r="K540" s="106">
        <f>'Detailed Report'!AP536</f>
        <v>1.379742</v>
      </c>
      <c r="L540" s="106">
        <f>'Detailed Report'!AU536/1.14</f>
        <v>0</v>
      </c>
      <c r="M540" s="106">
        <f>'Detailed Report'!AU536-L540</f>
        <v>0</v>
      </c>
      <c r="N540" s="110">
        <f>'Detailed Report'!AW536</f>
        <v>411.13499999999999</v>
      </c>
      <c r="O540" s="111">
        <f t="shared" si="54"/>
        <v>82.865000000000009</v>
      </c>
      <c r="P540" s="110">
        <f>'Detailed Report'!AM536</f>
        <v>0</v>
      </c>
      <c r="Q540" s="110">
        <f>'Detailed Report'!AN536</f>
        <v>0</v>
      </c>
      <c r="R540" s="110">
        <f>'Detailed Report'!AU536/1.14</f>
        <v>0</v>
      </c>
      <c r="S540" s="110">
        <f>'Detailed Report'!AU536-'........... - Otlob'!R540</f>
        <v>0</v>
      </c>
    </row>
    <row r="541" spans="1:19" ht="14.45" customHeight="1" x14ac:dyDescent="0.25">
      <c r="A541" s="105">
        <f>+IF(B541="","",SUBTOTAL(3,B$8:B541))</f>
        <v>534</v>
      </c>
      <c r="B541" s="106" t="str">
        <f>'Detailed Report'!O537</f>
        <v>Fuddruckers - City Stars</v>
      </c>
      <c r="C541" s="107">
        <f>TRUNC('Detailed Report'!Q537,0)</f>
        <v>46040</v>
      </c>
      <c r="D541" s="108">
        <f>'Detailed Report'!P537</f>
        <v>3407191324</v>
      </c>
      <c r="E541" s="106" t="str">
        <f>'Detailed Report'!S537</f>
        <v>Successful</v>
      </c>
      <c r="F541" s="109">
        <f>IF(E541=$E$6,('Detailed Report'!Y537),IF(E541=$E$5,(0),0))</f>
        <v>500.5</v>
      </c>
      <c r="G541" s="106">
        <f>IF(E541=$E$6,('Detailed Report'!AQ537),IF(E541=$E$5,('Detailed Report'!AW537),0))</f>
        <v>439.03509000000003</v>
      </c>
      <c r="H541" s="106">
        <f>'Detailed Report'!AS537</f>
        <v>109.75877</v>
      </c>
      <c r="I541" s="106">
        <f>'Detailed Report'!AT537</f>
        <v>15.366227800000001</v>
      </c>
      <c r="J541" s="106">
        <f>'Detailed Report'!AO537</f>
        <v>8.7587499999999991</v>
      </c>
      <c r="K541" s="106">
        <f>'Detailed Report'!AP537</f>
        <v>1.2262249999999999</v>
      </c>
      <c r="L541" s="106">
        <f>'Detailed Report'!AU537/1.14</f>
        <v>26.307017543859651</v>
      </c>
      <c r="M541" s="106">
        <f>'Detailed Report'!AU537-L541</f>
        <v>3.6829824561403477</v>
      </c>
      <c r="N541" s="110">
        <f>'Detailed Report'!AW537</f>
        <v>335.4</v>
      </c>
      <c r="O541" s="111">
        <f t="shared" si="54"/>
        <v>103.63509000000005</v>
      </c>
      <c r="P541" s="110">
        <f>'Detailed Report'!AM537</f>
        <v>0</v>
      </c>
      <c r="Q541" s="110">
        <f>'Detailed Report'!AN537</f>
        <v>0</v>
      </c>
      <c r="R541" s="110">
        <f>'Detailed Report'!AU537/1.14</f>
        <v>26.307017543859651</v>
      </c>
      <c r="S541" s="110">
        <f>'Detailed Report'!AU537-'........... - Otlob'!R541</f>
        <v>3.6829824561403477</v>
      </c>
    </row>
    <row r="542" spans="1:19" ht="14.45" customHeight="1" x14ac:dyDescent="0.25">
      <c r="A542" s="105">
        <f>+IF(B542="","",SUBTOTAL(3,B$8:B542))</f>
        <v>535</v>
      </c>
      <c r="B542" s="106" t="str">
        <f>'Detailed Report'!O538</f>
        <v>Fuddruckers - City Stars</v>
      </c>
      <c r="C542" s="107">
        <f>TRUNC('Detailed Report'!Q538,0)</f>
        <v>46040</v>
      </c>
      <c r="D542" s="108">
        <f>'Detailed Report'!P538</f>
        <v>3407200314</v>
      </c>
      <c r="E542" s="106" t="str">
        <f>'Detailed Report'!S538</f>
        <v>Successful</v>
      </c>
      <c r="F542" s="109">
        <f>IF(E542=$E$6,('Detailed Report'!Y538),IF(E542=$E$5,(0),0))</f>
        <v>265</v>
      </c>
      <c r="G542" s="106">
        <f>IF(E542=$E$6,('Detailed Report'!AQ538),IF(E542=$E$5,('Detailed Report'!AW538),0))</f>
        <v>232.45614</v>
      </c>
      <c r="H542" s="106">
        <f>'Detailed Report'!AS538</f>
        <v>58.114040000000003</v>
      </c>
      <c r="I542" s="106">
        <f>'Detailed Report'!AT538</f>
        <v>8.1359656000000005</v>
      </c>
      <c r="J542" s="106">
        <f>'Detailed Report'!AO538</f>
        <v>4.6375000000000002</v>
      </c>
      <c r="K542" s="106">
        <f>'Detailed Report'!AP538</f>
        <v>0.64924999999999999</v>
      </c>
      <c r="L542" s="106">
        <f>'Detailed Report'!AU538/1.14</f>
        <v>24.55263157894737</v>
      </c>
      <c r="M542" s="106">
        <f>'Detailed Report'!AU538-L542</f>
        <v>3.4373684210526285</v>
      </c>
      <c r="N542" s="110">
        <f>'Detailed Report'!AW538</f>
        <v>165.47300000000001</v>
      </c>
      <c r="O542" s="111">
        <f t="shared" si="54"/>
        <v>66.983139999999992</v>
      </c>
      <c r="P542" s="110">
        <f>'Detailed Report'!AM538</f>
        <v>0</v>
      </c>
      <c r="Q542" s="110">
        <f>'Detailed Report'!AN538</f>
        <v>0</v>
      </c>
      <c r="R542" s="110">
        <f>'Detailed Report'!AU538/1.14</f>
        <v>24.55263157894737</v>
      </c>
      <c r="S542" s="110">
        <f>'Detailed Report'!AU538-'........... - Otlob'!R542</f>
        <v>3.4373684210526285</v>
      </c>
    </row>
    <row r="543" spans="1:19" ht="14.45" customHeight="1" x14ac:dyDescent="0.25">
      <c r="A543" s="105">
        <f>+IF(B543="","",SUBTOTAL(3,B$8:B543))</f>
        <v>536</v>
      </c>
      <c r="B543" s="106" t="str">
        <f>'Detailed Report'!O539</f>
        <v>Fuddruckers - New Maadi</v>
      </c>
      <c r="C543" s="107">
        <f>TRUNC('Detailed Report'!Q539,0)</f>
        <v>46040</v>
      </c>
      <c r="D543" s="108">
        <f>'Detailed Report'!P539</f>
        <v>3407248176</v>
      </c>
      <c r="E543" s="106" t="str">
        <f>'Detailed Report'!S539</f>
        <v>Successful</v>
      </c>
      <c r="F543" s="109">
        <f>IF(E543=$E$6,('Detailed Report'!Y539),IF(E543=$E$5,(0),0))</f>
        <v>615.98</v>
      </c>
      <c r="G543" s="106">
        <f>IF(E543=$E$6,('Detailed Report'!AQ539),IF(E543=$E$5,('Detailed Report'!AW539),0))</f>
        <v>540.33333000000005</v>
      </c>
      <c r="H543" s="106">
        <f>'Detailed Report'!AS539</f>
        <v>135.08332999999999</v>
      </c>
      <c r="I543" s="106">
        <f>'Detailed Report'!AT539</f>
        <v>18.911666199999999</v>
      </c>
      <c r="J543" s="106">
        <f>'Detailed Report'!AO539</f>
        <v>0</v>
      </c>
      <c r="K543" s="106">
        <f>'Detailed Report'!AP539</f>
        <v>0</v>
      </c>
      <c r="L543" s="106">
        <f>'Detailed Report'!AU539/1.14</f>
        <v>0</v>
      </c>
      <c r="M543" s="106">
        <f>'Detailed Report'!AU539-L543</f>
        <v>0</v>
      </c>
      <c r="N543" s="110">
        <f>'Detailed Report'!AW539</f>
        <v>461.98500000000001</v>
      </c>
      <c r="O543" s="111">
        <f t="shared" si="54"/>
        <v>78.348330000000033</v>
      </c>
      <c r="P543" s="110">
        <f>'Detailed Report'!AM539</f>
        <v>0</v>
      </c>
      <c r="Q543" s="110">
        <f>'Detailed Report'!AN539</f>
        <v>0</v>
      </c>
      <c r="R543" s="110">
        <f>'Detailed Report'!AU539/1.14</f>
        <v>0</v>
      </c>
      <c r="S543" s="110">
        <f>'Detailed Report'!AU539-'........... - Otlob'!R543</f>
        <v>0</v>
      </c>
    </row>
    <row r="544" spans="1:19" ht="14.45" customHeight="1" x14ac:dyDescent="0.25">
      <c r="A544" s="105">
        <f>+IF(B544="","",SUBTOTAL(3,B$8:B544))</f>
        <v>537</v>
      </c>
      <c r="B544" s="106" t="str">
        <f>'Detailed Report'!O540</f>
        <v>Fuddruckers - New Maadi</v>
      </c>
      <c r="C544" s="107">
        <f>TRUNC('Detailed Report'!Q540,0)</f>
        <v>46040</v>
      </c>
      <c r="D544" s="108">
        <f>'Detailed Report'!P540</f>
        <v>3407248211</v>
      </c>
      <c r="E544" s="106" t="str">
        <f>'Detailed Report'!S540</f>
        <v>Successful</v>
      </c>
      <c r="F544" s="109">
        <f>IF(E544=$E$6,('Detailed Report'!Y540),IF(E544=$E$5,(0),0))</f>
        <v>266.99</v>
      </c>
      <c r="G544" s="106">
        <f>IF(E544=$E$6,('Detailed Report'!AQ540),IF(E544=$E$5,('Detailed Report'!AW540),0))</f>
        <v>234.20175</v>
      </c>
      <c r="H544" s="106">
        <f>'Detailed Report'!AS540</f>
        <v>58.550440000000002</v>
      </c>
      <c r="I544" s="106">
        <f>'Detailed Report'!AT540</f>
        <v>8.1970615999999996</v>
      </c>
      <c r="J544" s="106">
        <f>'Detailed Report'!AO540</f>
        <v>4.6723249999999998</v>
      </c>
      <c r="K544" s="106">
        <f>'Detailed Report'!AP540</f>
        <v>0.65412550000000003</v>
      </c>
      <c r="L544" s="106">
        <f>'Detailed Report'!AU540/1.14</f>
        <v>0</v>
      </c>
      <c r="M544" s="106">
        <f>'Detailed Report'!AU540-L544</f>
        <v>0</v>
      </c>
      <c r="N544" s="110">
        <f>'Detailed Report'!AW540</f>
        <v>194.916</v>
      </c>
      <c r="O544" s="111">
        <f t="shared" si="54"/>
        <v>39.285750000000007</v>
      </c>
      <c r="P544" s="110">
        <f>'Detailed Report'!AM540</f>
        <v>0</v>
      </c>
      <c r="Q544" s="110">
        <f>'Detailed Report'!AN540</f>
        <v>0</v>
      </c>
      <c r="R544" s="110">
        <f>'Detailed Report'!AU540/1.14</f>
        <v>0</v>
      </c>
      <c r="S544" s="110">
        <f>'Detailed Report'!AU540-'........... - Otlob'!R544</f>
        <v>0</v>
      </c>
    </row>
    <row r="545" spans="1:19" ht="14.45" customHeight="1" x14ac:dyDescent="0.25">
      <c r="A545" s="105">
        <f>+IF(B545="","",SUBTOTAL(3,B$8:B545))</f>
        <v>538</v>
      </c>
      <c r="B545" s="106" t="str">
        <f>'Detailed Report'!O541</f>
        <v>Fuddruckers - New Maadi</v>
      </c>
      <c r="C545" s="107">
        <f>TRUNC('Detailed Report'!Q541,0)</f>
        <v>46040</v>
      </c>
      <c r="D545" s="108">
        <f>'Detailed Report'!P541</f>
        <v>3407251305</v>
      </c>
      <c r="E545" s="106" t="str">
        <f>'Detailed Report'!S541</f>
        <v>Successful</v>
      </c>
      <c r="F545" s="109">
        <f>IF(E545=$E$6,('Detailed Report'!Y541),IF(E545=$E$5,(0),0))</f>
        <v>1112.95</v>
      </c>
      <c r="G545" s="106">
        <f>IF(E545=$E$6,('Detailed Report'!AQ541),IF(E545=$E$5,('Detailed Report'!AW541),0))</f>
        <v>976.27193</v>
      </c>
      <c r="H545" s="106">
        <f>'Detailed Report'!AS541</f>
        <v>244.06798000000001</v>
      </c>
      <c r="I545" s="106">
        <f>'Detailed Report'!AT541</f>
        <v>34.169517200000001</v>
      </c>
      <c r="J545" s="106">
        <f>'Detailed Report'!AO541</f>
        <v>19.476623249999999</v>
      </c>
      <c r="K545" s="106">
        <f>'Detailed Report'!AP541</f>
        <v>2.7267272550000001</v>
      </c>
      <c r="L545" s="106">
        <f>'Detailed Report'!AU541/1.14</f>
        <v>23.67543859649123</v>
      </c>
      <c r="M545" s="106">
        <f>'Detailed Report'!AU541-L545</f>
        <v>3.3145614035087689</v>
      </c>
      <c r="N545" s="110">
        <f>'Detailed Report'!AW541</f>
        <v>785.51900000000001</v>
      </c>
      <c r="O545" s="111">
        <f t="shared" si="54"/>
        <v>190.75292999999999</v>
      </c>
      <c r="P545" s="110">
        <f>'Detailed Report'!AM541</f>
        <v>0</v>
      </c>
      <c r="Q545" s="110">
        <f>'Detailed Report'!AN541</f>
        <v>0</v>
      </c>
      <c r="R545" s="110">
        <f>'Detailed Report'!AU541/1.14</f>
        <v>23.67543859649123</v>
      </c>
      <c r="S545" s="110">
        <f>'Detailed Report'!AU541-'........... - Otlob'!R545</f>
        <v>3.3145614035087689</v>
      </c>
    </row>
    <row r="546" spans="1:19" ht="14.45" customHeight="1" x14ac:dyDescent="0.25">
      <c r="A546" s="105">
        <f>+IF(B546="","",SUBTOTAL(3,B$8:B546))</f>
        <v>539</v>
      </c>
      <c r="B546" s="106" t="str">
        <f>'Detailed Report'!O542</f>
        <v>Fuddruckers - New Maadi</v>
      </c>
      <c r="C546" s="107">
        <f>TRUNC('Detailed Report'!Q542,0)</f>
        <v>46040</v>
      </c>
      <c r="D546" s="108">
        <f>'Detailed Report'!P542</f>
        <v>3407291349</v>
      </c>
      <c r="E546" s="106" t="str">
        <f>'Detailed Report'!S542</f>
        <v>Successful</v>
      </c>
      <c r="F546" s="109">
        <f>IF(E546=$E$6,('Detailed Report'!Y542),IF(E546=$E$5,(0),0))</f>
        <v>661.58</v>
      </c>
      <c r="G546" s="106">
        <f>IF(E546=$E$6,('Detailed Report'!AQ542),IF(E546=$E$5,('Detailed Report'!AW542),0))</f>
        <v>580.33333000000005</v>
      </c>
      <c r="H546" s="106">
        <f>'Detailed Report'!AS542</f>
        <v>145.08332999999999</v>
      </c>
      <c r="I546" s="106">
        <f>'Detailed Report'!AT542</f>
        <v>20.311666200000001</v>
      </c>
      <c r="J546" s="106">
        <f>'Detailed Report'!AO542</f>
        <v>11.57765</v>
      </c>
      <c r="K546" s="106">
        <f>'Detailed Report'!AP542</f>
        <v>1.620871</v>
      </c>
      <c r="L546" s="106">
        <f>'Detailed Report'!AU542/1.14</f>
        <v>0</v>
      </c>
      <c r="M546" s="106">
        <f>'Detailed Report'!AU542-L546</f>
        <v>0</v>
      </c>
      <c r="N546" s="110">
        <f>'Detailed Report'!AW542</f>
        <v>482.98599999999999</v>
      </c>
      <c r="O546" s="111">
        <f t="shared" si="54"/>
        <v>97.347330000000056</v>
      </c>
      <c r="P546" s="110">
        <f>'Detailed Report'!AM542</f>
        <v>0</v>
      </c>
      <c r="Q546" s="110">
        <f>'Detailed Report'!AN542</f>
        <v>0</v>
      </c>
      <c r="R546" s="110">
        <f>'Detailed Report'!AU542/1.14</f>
        <v>0</v>
      </c>
      <c r="S546" s="110">
        <f>'Detailed Report'!AU542-'........... - Otlob'!R546</f>
        <v>0</v>
      </c>
    </row>
    <row r="547" spans="1:19" ht="14.45" customHeight="1" x14ac:dyDescent="0.25">
      <c r="A547" s="105">
        <f>+IF(B547="","",SUBTOTAL(3,B$8:B547))</f>
        <v>540</v>
      </c>
      <c r="B547" s="106" t="str">
        <f>'Detailed Report'!O543</f>
        <v>Fuddruckers - Concord Plaza Mall</v>
      </c>
      <c r="C547" s="107">
        <f>TRUNC('Detailed Report'!Q543,0)</f>
        <v>46041</v>
      </c>
      <c r="D547" s="108">
        <f>'Detailed Report'!P543</f>
        <v>3407861085</v>
      </c>
      <c r="E547" s="106" t="str">
        <f>'Detailed Report'!S543</f>
        <v>Successful</v>
      </c>
      <c r="F547" s="109">
        <f>IF(E547=$E$6,('Detailed Report'!Y543),IF(E547=$E$5,(0),0))</f>
        <v>329.99</v>
      </c>
      <c r="G547" s="106">
        <f>IF(E547=$E$6,('Detailed Report'!AQ543),IF(E547=$E$5,('Detailed Report'!AW543),0))</f>
        <v>289.46490999999997</v>
      </c>
      <c r="H547" s="106">
        <f>'Detailed Report'!AS543</f>
        <v>72.366230000000002</v>
      </c>
      <c r="I547" s="106">
        <f>'Detailed Report'!AT543</f>
        <v>10.1312722</v>
      </c>
      <c r="J547" s="106">
        <f>'Detailed Report'!AO543</f>
        <v>0</v>
      </c>
      <c r="K547" s="106">
        <f>'Detailed Report'!AP543</f>
        <v>0</v>
      </c>
      <c r="L547" s="106">
        <f>'Detailed Report'!AU543/1.14</f>
        <v>0</v>
      </c>
      <c r="M547" s="106">
        <f>'Detailed Report'!AU543-L547</f>
        <v>0</v>
      </c>
      <c r="N547" s="110">
        <f>'Detailed Report'!AW543</f>
        <v>213.292</v>
      </c>
      <c r="O547" s="111">
        <f t="shared" si="54"/>
        <v>76.172909999999973</v>
      </c>
      <c r="P547" s="110">
        <f>'Detailed Report'!AM543</f>
        <v>30</v>
      </c>
      <c r="Q547" s="110">
        <f>'Detailed Report'!AN543</f>
        <v>4.2</v>
      </c>
      <c r="R547" s="110">
        <f>'Detailed Report'!AU543/1.14</f>
        <v>0</v>
      </c>
      <c r="S547" s="110">
        <f>'Detailed Report'!AU543-'........... - Otlob'!R547</f>
        <v>0</v>
      </c>
    </row>
    <row r="548" spans="1:19" ht="14.45" customHeight="1" x14ac:dyDescent="0.25">
      <c r="A548" s="105">
        <f>+IF(B548="","",SUBTOTAL(3,B$8:B548))</f>
        <v>541</v>
      </c>
      <c r="B548" s="106" t="str">
        <f>'Detailed Report'!O544</f>
        <v>Fuddruckers - New Maadi</v>
      </c>
      <c r="C548" s="107">
        <f>TRUNC('Detailed Report'!Q544,0)</f>
        <v>46041</v>
      </c>
      <c r="D548" s="108">
        <f>'Detailed Report'!P544</f>
        <v>3407893833</v>
      </c>
      <c r="E548" s="106" t="str">
        <f>'Detailed Report'!S544</f>
        <v>Successful</v>
      </c>
      <c r="F548" s="109">
        <f>IF(E548=$E$6,('Detailed Report'!Y544),IF(E548=$E$5,(0),0))</f>
        <v>524.98</v>
      </c>
      <c r="G548" s="106">
        <f>IF(E548=$E$6,('Detailed Report'!AQ544),IF(E548=$E$5,('Detailed Report'!AW544),0))</f>
        <v>460.50877000000003</v>
      </c>
      <c r="H548" s="106">
        <f>'Detailed Report'!AS544</f>
        <v>115.12719</v>
      </c>
      <c r="I548" s="106">
        <f>'Detailed Report'!AT544</f>
        <v>16.117806600000002</v>
      </c>
      <c r="J548" s="106">
        <f>'Detailed Report'!AO544</f>
        <v>9.1871500000000008</v>
      </c>
      <c r="K548" s="106">
        <f>'Detailed Report'!AP544</f>
        <v>1.2862009999999999</v>
      </c>
      <c r="L548" s="106">
        <f>'Detailed Report'!AU544/1.14</f>
        <v>27.184210526315791</v>
      </c>
      <c r="M548" s="106">
        <f>'Detailed Report'!AU544-L548</f>
        <v>3.8057894736842073</v>
      </c>
      <c r="N548" s="110">
        <f>'Detailed Report'!AW544</f>
        <v>352.27199999999999</v>
      </c>
      <c r="O548" s="111">
        <f t="shared" si="54"/>
        <v>108.23677000000004</v>
      </c>
      <c r="P548" s="110">
        <f>'Detailed Report'!AM544</f>
        <v>0</v>
      </c>
      <c r="Q548" s="110">
        <f>'Detailed Report'!AN544</f>
        <v>0</v>
      </c>
      <c r="R548" s="110">
        <f>'Detailed Report'!AU544/1.14</f>
        <v>27.184210526315791</v>
      </c>
      <c r="S548" s="110">
        <f>'Detailed Report'!AU544-'........... - Otlob'!R548</f>
        <v>3.8057894736842073</v>
      </c>
    </row>
    <row r="549" spans="1:19" ht="14.45" customHeight="1" x14ac:dyDescent="0.25">
      <c r="A549" s="105">
        <f>+IF(B549="","",SUBTOTAL(3,B$8:B549))</f>
        <v>542</v>
      </c>
      <c r="B549" s="106" t="str">
        <f>'Detailed Report'!O545</f>
        <v>Fuddruckers - New Maadi</v>
      </c>
      <c r="C549" s="107">
        <f>TRUNC('Detailed Report'!Q545,0)</f>
        <v>46041</v>
      </c>
      <c r="D549" s="108">
        <f>'Detailed Report'!P545</f>
        <v>3407930230</v>
      </c>
      <c r="E549" s="106" t="str">
        <f>'Detailed Report'!S545</f>
        <v>Successful</v>
      </c>
      <c r="F549" s="109">
        <f>IF(E549=$E$6,('Detailed Report'!Y545),IF(E549=$E$5,(0),0))</f>
        <v>434.32</v>
      </c>
      <c r="G549" s="106">
        <f>IF(E549=$E$6,('Detailed Report'!AQ545),IF(E549=$E$5,('Detailed Report'!AW545),0))</f>
        <v>380.98246</v>
      </c>
      <c r="H549" s="106">
        <f>'Detailed Report'!AS545</f>
        <v>95.245620000000002</v>
      </c>
      <c r="I549" s="106">
        <f>'Detailed Report'!AT545</f>
        <v>13.334386800000001</v>
      </c>
      <c r="J549" s="106">
        <f>'Detailed Report'!AO545</f>
        <v>7.6006</v>
      </c>
      <c r="K549" s="106">
        <f>'Detailed Report'!AP545</f>
        <v>1.064084</v>
      </c>
      <c r="L549" s="106">
        <f>'Detailed Report'!AU545/1.14</f>
        <v>24.55263157894737</v>
      </c>
      <c r="M549" s="106">
        <f>'Detailed Report'!AU545-L549</f>
        <v>3.4373684210526285</v>
      </c>
      <c r="N549" s="110">
        <f>'Detailed Report'!AW545</f>
        <v>289.08499999999998</v>
      </c>
      <c r="O549" s="111">
        <f t="shared" si="54"/>
        <v>91.897460000000024</v>
      </c>
      <c r="P549" s="110">
        <f>'Detailed Report'!AM545</f>
        <v>0</v>
      </c>
      <c r="Q549" s="110">
        <f>'Detailed Report'!AN545</f>
        <v>0</v>
      </c>
      <c r="R549" s="110">
        <f>'Detailed Report'!AU545/1.14</f>
        <v>24.55263157894737</v>
      </c>
      <c r="S549" s="110">
        <f>'Detailed Report'!AU545-'........... - Otlob'!R549</f>
        <v>3.4373684210526285</v>
      </c>
    </row>
    <row r="550" spans="1:19" ht="14.45" customHeight="1" x14ac:dyDescent="0.25">
      <c r="A550" s="105">
        <f>+IF(B550="","",SUBTOTAL(3,B$8:B550))</f>
        <v>543</v>
      </c>
      <c r="B550" s="106" t="str">
        <f>'Detailed Report'!O546</f>
        <v>Fuddruckers - City Stars</v>
      </c>
      <c r="C550" s="107">
        <f>TRUNC('Detailed Report'!Q546,0)</f>
        <v>46041</v>
      </c>
      <c r="D550" s="108">
        <f>'Detailed Report'!P546</f>
        <v>3408071793</v>
      </c>
      <c r="E550" s="106" t="str">
        <f>'Detailed Report'!S546</f>
        <v>Successful</v>
      </c>
      <c r="F550" s="109">
        <f>IF(E550=$E$6,('Detailed Report'!Y546),IF(E550=$E$5,(0),0))</f>
        <v>769.99</v>
      </c>
      <c r="G550" s="106">
        <f>IF(E550=$E$6,('Detailed Report'!AQ546),IF(E550=$E$5,('Detailed Report'!AW546),0))</f>
        <v>675.42981999999995</v>
      </c>
      <c r="H550" s="106">
        <f>'Detailed Report'!AS546</f>
        <v>168.85746</v>
      </c>
      <c r="I550" s="106">
        <f>'Detailed Report'!AT546</f>
        <v>23.640044400000001</v>
      </c>
      <c r="J550" s="106">
        <f>'Detailed Report'!AO546</f>
        <v>0</v>
      </c>
      <c r="K550" s="106">
        <f>'Detailed Report'!AP546</f>
        <v>0</v>
      </c>
      <c r="L550" s="106">
        <f>'Detailed Report'!AU546/1.14</f>
        <v>0</v>
      </c>
      <c r="M550" s="106">
        <f>'Detailed Report'!AU546-L550</f>
        <v>0</v>
      </c>
      <c r="N550" s="110">
        <f>'Detailed Report'!AW546</f>
        <v>577.49199999999996</v>
      </c>
      <c r="O550" s="111">
        <f t="shared" si="54"/>
        <v>97.937819999999988</v>
      </c>
      <c r="P550" s="110">
        <f>'Detailed Report'!AM546</f>
        <v>0</v>
      </c>
      <c r="Q550" s="110">
        <f>'Detailed Report'!AN546</f>
        <v>0</v>
      </c>
      <c r="R550" s="110">
        <f>'Detailed Report'!AU546/1.14</f>
        <v>0</v>
      </c>
      <c r="S550" s="110">
        <f>'Detailed Report'!AU546-'........... - Otlob'!R550</f>
        <v>0</v>
      </c>
    </row>
    <row r="551" spans="1:19" ht="14.45" customHeight="1" x14ac:dyDescent="0.25">
      <c r="A551" s="105">
        <f>+IF(B551="","",SUBTOTAL(3,B$8:B551))</f>
        <v>544</v>
      </c>
      <c r="B551" s="106" t="str">
        <f>'Detailed Report'!O547</f>
        <v>Fuddruckers - New Maadi</v>
      </c>
      <c r="C551" s="107">
        <f>TRUNC('Detailed Report'!Q547,0)</f>
        <v>46041</v>
      </c>
      <c r="D551" s="108">
        <f>'Detailed Report'!P547</f>
        <v>3408088920</v>
      </c>
      <c r="E551" s="106" t="str">
        <f>'Detailed Report'!S547</f>
        <v>Successful</v>
      </c>
      <c r="F551" s="109">
        <f>IF(E551=$E$6,('Detailed Report'!Y547),IF(E551=$E$5,(0),0))</f>
        <v>789.65</v>
      </c>
      <c r="G551" s="106">
        <f>IF(E551=$E$6,('Detailed Report'!AQ547),IF(E551=$E$5,('Detailed Report'!AW547),0))</f>
        <v>692.67543999999998</v>
      </c>
      <c r="H551" s="106">
        <f>'Detailed Report'!AS547</f>
        <v>173.16886</v>
      </c>
      <c r="I551" s="106">
        <f>'Detailed Report'!AT547</f>
        <v>24.2436404</v>
      </c>
      <c r="J551" s="106">
        <f>'Detailed Report'!AO547</f>
        <v>13.818875</v>
      </c>
      <c r="K551" s="106">
        <f>'Detailed Report'!AP547</f>
        <v>1.9346425</v>
      </c>
      <c r="L551" s="106">
        <f>'Detailed Report'!AU547/1.14</f>
        <v>23.67543859649123</v>
      </c>
      <c r="M551" s="106">
        <f>'Detailed Report'!AU547-L551</f>
        <v>3.3145614035087689</v>
      </c>
      <c r="N551" s="110">
        <f>'Detailed Report'!AW547</f>
        <v>549.49400000000003</v>
      </c>
      <c r="O551" s="111">
        <f t="shared" si="54"/>
        <v>143.18143999999995</v>
      </c>
      <c r="P551" s="110">
        <f>'Detailed Report'!AM547</f>
        <v>0</v>
      </c>
      <c r="Q551" s="110">
        <f>'Detailed Report'!AN547</f>
        <v>0</v>
      </c>
      <c r="R551" s="110">
        <f>'Detailed Report'!AU547/1.14</f>
        <v>23.67543859649123</v>
      </c>
      <c r="S551" s="110">
        <f>'Detailed Report'!AU547-'........... - Otlob'!R551</f>
        <v>3.3145614035087689</v>
      </c>
    </row>
    <row r="552" spans="1:19" ht="14.45" customHeight="1" x14ac:dyDescent="0.25">
      <c r="A552" s="105">
        <f>+IF(B552="","",SUBTOTAL(3,B$8:B552))</f>
        <v>545</v>
      </c>
      <c r="B552" s="106" t="str">
        <f>'Detailed Report'!O548</f>
        <v>Fuddruckers - Concord Plaza Mall</v>
      </c>
      <c r="C552" s="107">
        <f>TRUNC('Detailed Report'!Q548,0)</f>
        <v>46041</v>
      </c>
      <c r="D552" s="108">
        <f>'Detailed Report'!P548</f>
        <v>3408100149</v>
      </c>
      <c r="E552" s="106" t="str">
        <f>'Detailed Report'!S548</f>
        <v>Successful</v>
      </c>
      <c r="F552" s="109">
        <f>IF(E552=$E$6,('Detailed Report'!Y548),IF(E552=$E$5,(0),0))</f>
        <v>406.67</v>
      </c>
      <c r="G552" s="106">
        <f>IF(E552=$E$6,('Detailed Report'!AQ548),IF(E552=$E$5,('Detailed Report'!AW548),0))</f>
        <v>356.72807</v>
      </c>
      <c r="H552" s="106">
        <f>'Detailed Report'!AS548</f>
        <v>89.182019999999994</v>
      </c>
      <c r="I552" s="106">
        <f>'Detailed Report'!AT548</f>
        <v>12.4854828</v>
      </c>
      <c r="J552" s="106">
        <f>'Detailed Report'!AO548</f>
        <v>0</v>
      </c>
      <c r="K552" s="106">
        <f>'Detailed Report'!AP548</f>
        <v>0</v>
      </c>
      <c r="L552" s="106">
        <f>'Detailed Report'!AU548/1.14</f>
        <v>0</v>
      </c>
      <c r="M552" s="106">
        <f>'Detailed Report'!AU548-L552</f>
        <v>0</v>
      </c>
      <c r="N552" s="110">
        <f>'Detailed Report'!AW548</f>
        <v>305.00200000000001</v>
      </c>
      <c r="O552" s="111">
        <f t="shared" si="54"/>
        <v>51.726069999999993</v>
      </c>
      <c r="P552" s="110">
        <f>'Detailed Report'!AM548</f>
        <v>0</v>
      </c>
      <c r="Q552" s="110">
        <f>'Detailed Report'!AN548</f>
        <v>0</v>
      </c>
      <c r="R552" s="110">
        <f>'Detailed Report'!AU548/1.14</f>
        <v>0</v>
      </c>
      <c r="S552" s="110">
        <f>'Detailed Report'!AU548-'........... - Otlob'!R552</f>
        <v>0</v>
      </c>
    </row>
    <row r="553" spans="1:19" ht="14.45" customHeight="1" x14ac:dyDescent="0.25">
      <c r="A553" s="105">
        <f>+IF(B553="","",SUBTOTAL(3,B$8:B553))</f>
        <v>546</v>
      </c>
      <c r="B553" s="106" t="str">
        <f>'Detailed Report'!O549</f>
        <v>Fuddruckers - Concord Plaza Mall</v>
      </c>
      <c r="C553" s="107">
        <f>TRUNC('Detailed Report'!Q549,0)</f>
        <v>46041</v>
      </c>
      <c r="D553" s="108">
        <f>'Detailed Report'!P549</f>
        <v>3408111435</v>
      </c>
      <c r="E553" s="106" t="str">
        <f>'Detailed Report'!S549</f>
        <v>Successful</v>
      </c>
      <c r="F553" s="109">
        <f>IF(E553=$E$6,('Detailed Report'!Y549),IF(E553=$E$5,(0),0))</f>
        <v>306.98</v>
      </c>
      <c r="G553" s="106">
        <f>IF(E553=$E$6,('Detailed Report'!AQ549),IF(E553=$E$5,('Detailed Report'!AW549),0))</f>
        <v>269.28070000000002</v>
      </c>
      <c r="H553" s="106">
        <f>'Detailed Report'!AS549</f>
        <v>67.320179999999993</v>
      </c>
      <c r="I553" s="106">
        <f>'Detailed Report'!AT549</f>
        <v>9.4248252000000008</v>
      </c>
      <c r="J553" s="106">
        <f>'Detailed Report'!AO549</f>
        <v>5.3721500000000004</v>
      </c>
      <c r="K553" s="106">
        <f>'Detailed Report'!AP549</f>
        <v>0.75210100000000002</v>
      </c>
      <c r="L553" s="106">
        <f>'Detailed Report'!AU549/1.14</f>
        <v>0</v>
      </c>
      <c r="M553" s="106">
        <f>'Detailed Report'!AU549-L553</f>
        <v>0</v>
      </c>
      <c r="N553" s="110">
        <f>'Detailed Report'!AW549</f>
        <v>224.11099999999999</v>
      </c>
      <c r="O553" s="111">
        <f t="shared" si="54"/>
        <v>45.169700000000034</v>
      </c>
      <c r="P553" s="110">
        <f>'Detailed Report'!AM549</f>
        <v>0</v>
      </c>
      <c r="Q553" s="110">
        <f>'Detailed Report'!AN549</f>
        <v>0</v>
      </c>
      <c r="R553" s="110">
        <f>'Detailed Report'!AU549/1.14</f>
        <v>0</v>
      </c>
      <c r="S553" s="110">
        <f>'Detailed Report'!AU549-'........... - Otlob'!R553</f>
        <v>0</v>
      </c>
    </row>
    <row r="554" spans="1:19" ht="14.45" customHeight="1" x14ac:dyDescent="0.25">
      <c r="A554" s="105">
        <f>+IF(B554="","",SUBTOTAL(3,B$8:B554))</f>
        <v>547</v>
      </c>
      <c r="B554" s="106" t="str">
        <f>'Detailed Report'!O550</f>
        <v>Fuddruckers - City Stars</v>
      </c>
      <c r="C554" s="107">
        <f>TRUNC('Detailed Report'!Q550,0)</f>
        <v>46041</v>
      </c>
      <c r="D554" s="108">
        <f>'Detailed Report'!P550</f>
        <v>3408281279</v>
      </c>
      <c r="E554" s="106" t="str">
        <f>'Detailed Report'!S550</f>
        <v>Successful</v>
      </c>
      <c r="F554" s="109">
        <f>IF(E554=$E$6,('Detailed Report'!Y550),IF(E554=$E$5,(0),0))</f>
        <v>375.73</v>
      </c>
      <c r="G554" s="106">
        <f>IF(E554=$E$6,('Detailed Report'!AQ550),IF(E554=$E$5,('Detailed Report'!AW550),0))</f>
        <v>329.58771999999999</v>
      </c>
      <c r="H554" s="106">
        <f>'Detailed Report'!AS550</f>
        <v>82.396929999999998</v>
      </c>
      <c r="I554" s="106">
        <f>'Detailed Report'!AT550</f>
        <v>11.5355702</v>
      </c>
      <c r="J554" s="106">
        <f>'Detailed Report'!AO550</f>
        <v>0</v>
      </c>
      <c r="K554" s="106">
        <f>'Detailed Report'!AP550</f>
        <v>0</v>
      </c>
      <c r="L554" s="106">
        <f>'Detailed Report'!AU550/1.14</f>
        <v>0</v>
      </c>
      <c r="M554" s="106">
        <f>'Detailed Report'!AU550-L554</f>
        <v>0</v>
      </c>
      <c r="N554" s="110">
        <f>'Detailed Report'!AW550</f>
        <v>281.79700000000003</v>
      </c>
      <c r="O554" s="111">
        <f t="shared" si="54"/>
        <v>47.790719999999965</v>
      </c>
      <c r="P554" s="110">
        <f>'Detailed Report'!AM550</f>
        <v>0</v>
      </c>
      <c r="Q554" s="110">
        <f>'Detailed Report'!AN550</f>
        <v>0</v>
      </c>
      <c r="R554" s="110">
        <f>'Detailed Report'!AU550/1.14</f>
        <v>0</v>
      </c>
      <c r="S554" s="110">
        <f>'Detailed Report'!AU550-'........... - Otlob'!R554</f>
        <v>0</v>
      </c>
    </row>
    <row r="555" spans="1:19" ht="14.45" customHeight="1" x14ac:dyDescent="0.25">
      <c r="A555" s="105">
        <f>+IF(B555="","",SUBTOTAL(3,B$8:B555))</f>
        <v>548</v>
      </c>
      <c r="B555" s="106" t="str">
        <f>'Detailed Report'!O551</f>
        <v>Fuddruckers - Concord Plaza Mall</v>
      </c>
      <c r="C555" s="107">
        <f>TRUNC('Detailed Report'!Q551,0)</f>
        <v>46041</v>
      </c>
      <c r="D555" s="108">
        <f>'Detailed Report'!P551</f>
        <v>3408432815</v>
      </c>
      <c r="E555" s="106" t="str">
        <f>'Detailed Report'!S551</f>
        <v>Successful</v>
      </c>
      <c r="F555" s="109">
        <f>IF(E555=$E$6,('Detailed Report'!Y551),IF(E555=$E$5,(0),0))</f>
        <v>1058.95</v>
      </c>
      <c r="G555" s="106">
        <f>IF(E555=$E$6,('Detailed Report'!AQ551),IF(E555=$E$5,('Detailed Report'!AW551),0))</f>
        <v>928.90350999999998</v>
      </c>
      <c r="H555" s="106">
        <f>'Detailed Report'!AS551</f>
        <v>232.22587999999999</v>
      </c>
      <c r="I555" s="106">
        <f>'Detailed Report'!AT551</f>
        <v>32.511623200000002</v>
      </c>
      <c r="J555" s="106">
        <f>'Detailed Report'!AO551</f>
        <v>0</v>
      </c>
      <c r="K555" s="106">
        <f>'Detailed Report'!AP551</f>
        <v>0</v>
      </c>
      <c r="L555" s="106">
        <f>'Detailed Report'!AU551/1.14</f>
        <v>29.815789473684216</v>
      </c>
      <c r="M555" s="106">
        <f>'Detailed Report'!AU551-L555</f>
        <v>4.174210526315786</v>
      </c>
      <c r="N555" s="110">
        <f>'Detailed Report'!AW551</f>
        <v>760.22199999999998</v>
      </c>
      <c r="O555" s="111">
        <f t="shared" si="54"/>
        <v>168.68151</v>
      </c>
      <c r="P555" s="110">
        <f>'Detailed Report'!AM551</f>
        <v>0</v>
      </c>
      <c r="Q555" s="110">
        <f>'Detailed Report'!AN551</f>
        <v>0</v>
      </c>
      <c r="R555" s="110">
        <f>'Detailed Report'!AU551/1.14</f>
        <v>29.815789473684216</v>
      </c>
      <c r="S555" s="110">
        <f>'Detailed Report'!AU551-'........... - Otlob'!R555</f>
        <v>4.174210526315786</v>
      </c>
    </row>
    <row r="556" spans="1:19" ht="14.45" customHeight="1" x14ac:dyDescent="0.25">
      <c r="A556" s="105">
        <f>+IF(B556="","",SUBTOTAL(3,B$8:B556))</f>
        <v>549</v>
      </c>
      <c r="B556" s="106" t="str">
        <f>'Detailed Report'!O552</f>
        <v>Fuddruckers - City Stars</v>
      </c>
      <c r="C556" s="107">
        <f>TRUNC('Detailed Report'!Q552,0)</f>
        <v>46041</v>
      </c>
      <c r="D556" s="108">
        <f>'Detailed Report'!P552</f>
        <v>3408444389</v>
      </c>
      <c r="E556" s="106" t="str">
        <f>'Detailed Report'!S552</f>
        <v>Successful</v>
      </c>
      <c r="F556" s="109">
        <f>IF(E556=$E$6,('Detailed Report'!Y552),IF(E556=$E$5,(0),0))</f>
        <v>352.99</v>
      </c>
      <c r="G556" s="106">
        <f>IF(E556=$E$6,('Detailed Report'!AQ552),IF(E556=$E$5,('Detailed Report'!AW552),0))</f>
        <v>309.64035000000001</v>
      </c>
      <c r="H556" s="106">
        <f>'Detailed Report'!AS552</f>
        <v>77.410089999999997</v>
      </c>
      <c r="I556" s="106">
        <f>'Detailed Report'!AT552</f>
        <v>10.8374126</v>
      </c>
      <c r="J556" s="106">
        <f>'Detailed Report'!AO552</f>
        <v>6.1773249999999997</v>
      </c>
      <c r="K556" s="106">
        <f>'Detailed Report'!AP552</f>
        <v>0.86482550000000002</v>
      </c>
      <c r="L556" s="106">
        <f>'Detailed Report'!AU552/1.14</f>
        <v>25.42982456140351</v>
      </c>
      <c r="M556" s="106">
        <f>'Detailed Report'!AU552-L556</f>
        <v>3.5601754385964881</v>
      </c>
      <c r="N556" s="110">
        <f>'Detailed Report'!AW552</f>
        <v>228.71</v>
      </c>
      <c r="O556" s="111">
        <f t="shared" si="54"/>
        <v>80.930350000000004</v>
      </c>
      <c r="P556" s="110">
        <f>'Detailed Report'!AM552</f>
        <v>0</v>
      </c>
      <c r="Q556" s="110">
        <f>'Detailed Report'!AN552</f>
        <v>0</v>
      </c>
      <c r="R556" s="110">
        <f>'Detailed Report'!AU552/1.14</f>
        <v>25.42982456140351</v>
      </c>
      <c r="S556" s="110">
        <f>'Detailed Report'!AU552-'........... - Otlob'!R556</f>
        <v>3.5601754385964881</v>
      </c>
    </row>
    <row r="557" spans="1:19" ht="14.45" customHeight="1" x14ac:dyDescent="0.25">
      <c r="A557" s="105">
        <f>+IF(B557="","",SUBTOTAL(3,B$8:B557))</f>
        <v>550</v>
      </c>
      <c r="B557" s="106" t="str">
        <f>'Detailed Report'!O553</f>
        <v>Fuddruckers - New Maadi</v>
      </c>
      <c r="C557" s="107">
        <f>TRUNC('Detailed Report'!Q553,0)</f>
        <v>46041</v>
      </c>
      <c r="D557" s="108">
        <f>'Detailed Report'!P553</f>
        <v>3408448606</v>
      </c>
      <c r="E557" s="106" t="str">
        <f>'Detailed Report'!S553</f>
        <v>Successful</v>
      </c>
      <c r="F557" s="109">
        <f>IF(E557=$E$6,('Detailed Report'!Y553),IF(E557=$E$5,(0),0))</f>
        <v>515.51</v>
      </c>
      <c r="G557" s="106">
        <f>IF(E557=$E$6,('Detailed Report'!AQ553),IF(E557=$E$5,('Detailed Report'!AW553),0))</f>
        <v>452.20175</v>
      </c>
      <c r="H557" s="106">
        <f>'Detailed Report'!AS553</f>
        <v>113.05043999999999</v>
      </c>
      <c r="I557" s="106">
        <f>'Detailed Report'!AT553</f>
        <v>15.8270616</v>
      </c>
      <c r="J557" s="106">
        <f>'Detailed Report'!AO553</f>
        <v>0</v>
      </c>
      <c r="K557" s="106">
        <f>'Detailed Report'!AP553</f>
        <v>0</v>
      </c>
      <c r="L557" s="106">
        <f>'Detailed Report'!AU553/1.14</f>
        <v>0</v>
      </c>
      <c r="M557" s="106">
        <f>'Detailed Report'!AU553-L557</f>
        <v>0</v>
      </c>
      <c r="N557" s="110">
        <f>'Detailed Report'!AW553</f>
        <v>386.63200000000001</v>
      </c>
      <c r="O557" s="111">
        <f t="shared" si="54"/>
        <v>65.569749999999999</v>
      </c>
      <c r="P557" s="110">
        <f>'Detailed Report'!AM553</f>
        <v>0</v>
      </c>
      <c r="Q557" s="110">
        <f>'Detailed Report'!AN553</f>
        <v>0</v>
      </c>
      <c r="R557" s="110">
        <f>'Detailed Report'!AU553/1.14</f>
        <v>0</v>
      </c>
      <c r="S557" s="110">
        <f>'Detailed Report'!AU553-'........... - Otlob'!R557</f>
        <v>0</v>
      </c>
    </row>
    <row r="558" spans="1:19" ht="14.45" customHeight="1" x14ac:dyDescent="0.25">
      <c r="A558" s="105">
        <f>+IF(B558="","",SUBTOTAL(3,B$8:B558))</f>
        <v>551</v>
      </c>
      <c r="B558" s="106" t="str">
        <f>'Detailed Report'!O554</f>
        <v>Fuddruckers - New Maadi</v>
      </c>
      <c r="C558" s="107">
        <f>TRUNC('Detailed Report'!Q554,0)</f>
        <v>46041</v>
      </c>
      <c r="D558" s="108">
        <f>'Detailed Report'!P554</f>
        <v>3408484369</v>
      </c>
      <c r="E558" s="106" t="str">
        <f>'Detailed Report'!S554</f>
        <v>Successful</v>
      </c>
      <c r="F558" s="109">
        <f>IF(E558=$E$6,('Detailed Report'!Y554),IF(E558=$E$5,(0),0))</f>
        <v>266.99</v>
      </c>
      <c r="G558" s="106">
        <f>IF(E558=$E$6,('Detailed Report'!AQ554),IF(E558=$E$5,('Detailed Report'!AW554),0))</f>
        <v>234.20175</v>
      </c>
      <c r="H558" s="106">
        <f>'Detailed Report'!AS554</f>
        <v>58.550440000000002</v>
      </c>
      <c r="I558" s="106">
        <f>'Detailed Report'!AT554</f>
        <v>8.1970615999999996</v>
      </c>
      <c r="J558" s="106">
        <f>'Detailed Report'!AO554</f>
        <v>4.6723249999999998</v>
      </c>
      <c r="K558" s="106">
        <f>'Detailed Report'!AP554</f>
        <v>0.65412550000000003</v>
      </c>
      <c r="L558" s="106">
        <f>'Detailed Report'!AU554/1.14</f>
        <v>0</v>
      </c>
      <c r="M558" s="106">
        <f>'Detailed Report'!AU554-L558</f>
        <v>0</v>
      </c>
      <c r="N558" s="110">
        <f>'Detailed Report'!AW554</f>
        <v>194.916</v>
      </c>
      <c r="O558" s="111">
        <f t="shared" si="54"/>
        <v>39.285750000000007</v>
      </c>
      <c r="P558" s="110">
        <f>'Detailed Report'!AM554</f>
        <v>0</v>
      </c>
      <c r="Q558" s="110">
        <f>'Detailed Report'!AN554</f>
        <v>0</v>
      </c>
      <c r="R558" s="110">
        <f>'Detailed Report'!AU554/1.14</f>
        <v>0</v>
      </c>
      <c r="S558" s="110">
        <f>'Detailed Report'!AU554-'........... - Otlob'!R558</f>
        <v>0</v>
      </c>
    </row>
    <row r="559" spans="1:19" ht="14.45" customHeight="1" x14ac:dyDescent="0.25">
      <c r="A559" s="105">
        <f>+IF(B559="","",SUBTOTAL(3,B$8:B559))</f>
        <v>552</v>
      </c>
      <c r="B559" s="106" t="str">
        <f>'Detailed Report'!O555</f>
        <v>Fuddruckers - Concord Plaza Mall</v>
      </c>
      <c r="C559" s="107">
        <f>TRUNC('Detailed Report'!Q555,0)</f>
        <v>46041</v>
      </c>
      <c r="D559" s="108">
        <f>'Detailed Report'!P555</f>
        <v>3408492605</v>
      </c>
      <c r="E559" s="106" t="str">
        <f>'Detailed Report'!S555</f>
        <v>Successful</v>
      </c>
      <c r="F559" s="109">
        <f>IF(E559=$E$6,('Detailed Report'!Y555),IF(E559=$E$5,(0),0))</f>
        <v>1150.83</v>
      </c>
      <c r="G559" s="106">
        <f>IF(E559=$E$6,('Detailed Report'!AQ555),IF(E559=$E$5,('Detailed Report'!AW555),0))</f>
        <v>1009.5</v>
      </c>
      <c r="H559" s="106">
        <f>'Detailed Report'!AS555</f>
        <v>252.375</v>
      </c>
      <c r="I559" s="106">
        <f>'Detailed Report'!AT555</f>
        <v>35.332500000000003</v>
      </c>
      <c r="J559" s="106">
        <f>'Detailed Report'!AO555</f>
        <v>20.13952325</v>
      </c>
      <c r="K559" s="106">
        <f>'Detailed Report'!AP555</f>
        <v>2.8195332550000001</v>
      </c>
      <c r="L559" s="106">
        <f>'Detailed Report'!AU555/1.14</f>
        <v>27.184210526315791</v>
      </c>
      <c r="M559" s="106">
        <f>'Detailed Report'!AU555-L559</f>
        <v>3.8057894736842073</v>
      </c>
      <c r="N559" s="110">
        <f>'Detailed Report'!AW555</f>
        <v>809.173</v>
      </c>
      <c r="O559" s="111">
        <f t="shared" si="54"/>
        <v>200.327</v>
      </c>
      <c r="P559" s="110">
        <f>'Detailed Report'!AM555</f>
        <v>0</v>
      </c>
      <c r="Q559" s="110">
        <f>'Detailed Report'!AN555</f>
        <v>0</v>
      </c>
      <c r="R559" s="110">
        <f>'Detailed Report'!AU555/1.14</f>
        <v>27.184210526315791</v>
      </c>
      <c r="S559" s="110">
        <f>'Detailed Report'!AU555-'........... - Otlob'!R559</f>
        <v>3.8057894736842073</v>
      </c>
    </row>
    <row r="560" spans="1:19" ht="14.45" customHeight="1" x14ac:dyDescent="0.25">
      <c r="A560" s="105">
        <f>+IF(B560="","",SUBTOTAL(3,B$8:B560))</f>
        <v>553</v>
      </c>
      <c r="B560" s="106" t="str">
        <f>'Detailed Report'!O556</f>
        <v>Fuddruckers - New Maadi</v>
      </c>
      <c r="C560" s="107">
        <f>TRUNC('Detailed Report'!Q556,0)</f>
        <v>46041</v>
      </c>
      <c r="D560" s="108">
        <f>'Detailed Report'!P556</f>
        <v>3408601630</v>
      </c>
      <c r="E560" s="106" t="str">
        <f>'Detailed Report'!S556</f>
        <v>Successful</v>
      </c>
      <c r="F560" s="109">
        <f>IF(E560=$E$6,('Detailed Report'!Y556),IF(E560=$E$5,(0),0))</f>
        <v>751.34</v>
      </c>
      <c r="G560" s="106">
        <f>IF(E560=$E$6,('Detailed Report'!AQ556),IF(E560=$E$5,('Detailed Report'!AW556),0))</f>
        <v>659.07018000000005</v>
      </c>
      <c r="H560" s="106">
        <f>'Detailed Report'!AS556</f>
        <v>164.76755</v>
      </c>
      <c r="I560" s="106">
        <f>'Detailed Report'!AT556</f>
        <v>23.067457000000001</v>
      </c>
      <c r="J560" s="106">
        <f>'Detailed Report'!AO556</f>
        <v>13.14845</v>
      </c>
      <c r="K560" s="106">
        <f>'Detailed Report'!AP556</f>
        <v>1.8407830000000001</v>
      </c>
      <c r="L560" s="106">
        <f>'Detailed Report'!AU556/1.14</f>
        <v>26.307017543859651</v>
      </c>
      <c r="M560" s="106">
        <f>'Detailed Report'!AU556-L560</f>
        <v>3.6829824561403477</v>
      </c>
      <c r="N560" s="110">
        <f>'Detailed Report'!AW556</f>
        <v>484.32600000000002</v>
      </c>
      <c r="O560" s="111">
        <f t="shared" si="54"/>
        <v>174.74418000000003</v>
      </c>
      <c r="P560" s="110">
        <f>'Detailed Report'!AM556</f>
        <v>30</v>
      </c>
      <c r="Q560" s="110">
        <f>'Detailed Report'!AN556</f>
        <v>4.2</v>
      </c>
      <c r="R560" s="110">
        <f>'Detailed Report'!AU556/1.14</f>
        <v>26.307017543859651</v>
      </c>
      <c r="S560" s="110">
        <f>'Detailed Report'!AU556-'........... - Otlob'!R560</f>
        <v>3.6829824561403477</v>
      </c>
    </row>
    <row r="561" spans="1:19" ht="14.45" customHeight="1" x14ac:dyDescent="0.25">
      <c r="A561" s="105">
        <f>+IF(B561="","",SUBTOTAL(3,B$8:B561))</f>
        <v>554</v>
      </c>
      <c r="B561" s="106" t="str">
        <f>'Detailed Report'!O557</f>
        <v>Fuddruckers - Concord Plaza Mall</v>
      </c>
      <c r="C561" s="107">
        <f>TRUNC('Detailed Report'!Q557,0)</f>
        <v>46041</v>
      </c>
      <c r="D561" s="108">
        <f>'Detailed Report'!P557</f>
        <v>3408618035</v>
      </c>
      <c r="E561" s="106" t="str">
        <f>'Detailed Report'!S557</f>
        <v>Successful</v>
      </c>
      <c r="F561" s="109">
        <f>IF(E561=$E$6,('Detailed Report'!Y557),IF(E561=$E$5,(0),0))</f>
        <v>1462.3</v>
      </c>
      <c r="G561" s="106">
        <f>IF(E561=$E$6,('Detailed Report'!AQ557),IF(E561=$E$5,('Detailed Report'!AW557),0))</f>
        <v>1282.7193</v>
      </c>
      <c r="H561" s="106">
        <f>'Detailed Report'!AS557</f>
        <v>320.67982999999998</v>
      </c>
      <c r="I561" s="106">
        <f>'Detailed Report'!AT557</f>
        <v>44.895176200000002</v>
      </c>
      <c r="J561" s="106">
        <f>'Detailed Report'!AO557</f>
        <v>25.590250000000001</v>
      </c>
      <c r="K561" s="106">
        <f>'Detailed Report'!AP557</f>
        <v>3.5826349999999998</v>
      </c>
      <c r="L561" s="106">
        <f>'Detailed Report'!AU557/1.14</f>
        <v>28.061403508771932</v>
      </c>
      <c r="M561" s="106">
        <f>'Detailed Report'!AU557-L561</f>
        <v>3.9285964912280669</v>
      </c>
      <c r="N561" s="110">
        <f>'Detailed Report'!AW557</f>
        <v>1035.5619999999999</v>
      </c>
      <c r="O561" s="111">
        <f t="shared" si="54"/>
        <v>247.15730000000008</v>
      </c>
      <c r="P561" s="110">
        <f>'Detailed Report'!AM557</f>
        <v>0</v>
      </c>
      <c r="Q561" s="110">
        <f>'Detailed Report'!AN557</f>
        <v>0</v>
      </c>
      <c r="R561" s="110">
        <f>'Detailed Report'!AU557/1.14</f>
        <v>28.061403508771932</v>
      </c>
      <c r="S561" s="110">
        <f>'Detailed Report'!AU557-'........... - Otlob'!R561</f>
        <v>3.9285964912280669</v>
      </c>
    </row>
    <row r="562" spans="1:19" ht="14.45" customHeight="1" x14ac:dyDescent="0.25">
      <c r="A562" s="105">
        <f>+IF(B562="","",SUBTOTAL(3,B$8:B562))</f>
        <v>555</v>
      </c>
      <c r="B562" s="106" t="str">
        <f>'Detailed Report'!O558</f>
        <v>Fuddruckers - Concord Plaza Mall</v>
      </c>
      <c r="C562" s="107">
        <f>TRUNC('Detailed Report'!Q558,0)</f>
        <v>46041</v>
      </c>
      <c r="D562" s="108">
        <f>'Detailed Report'!P558</f>
        <v>3408630250</v>
      </c>
      <c r="E562" s="106" t="str">
        <f>'Detailed Report'!S558</f>
        <v>Successful</v>
      </c>
      <c r="F562" s="109">
        <f>IF(E562=$E$6,('Detailed Report'!Y558),IF(E562=$E$5,(0),0))</f>
        <v>1182.29</v>
      </c>
      <c r="G562" s="106">
        <f>IF(E562=$E$6,('Detailed Report'!AQ558),IF(E562=$E$5,('Detailed Report'!AW558),0))</f>
        <v>1037.0964899999999</v>
      </c>
      <c r="H562" s="106">
        <f>'Detailed Report'!AS558</f>
        <v>259.27411999999998</v>
      </c>
      <c r="I562" s="106">
        <f>'Detailed Report'!AT558</f>
        <v>36.2983768</v>
      </c>
      <c r="J562" s="106">
        <f>'Detailed Report'!AO558</f>
        <v>20.690075</v>
      </c>
      <c r="K562" s="106">
        <f>'Detailed Report'!AP558</f>
        <v>2.8966105</v>
      </c>
      <c r="L562" s="106">
        <f>'Detailed Report'!AU558/1.14</f>
        <v>29.815789473684216</v>
      </c>
      <c r="M562" s="106">
        <f>'Detailed Report'!AU558-L562</f>
        <v>4.174210526315786</v>
      </c>
      <c r="N562" s="110">
        <f>'Detailed Report'!AW558</f>
        <v>829.14099999999996</v>
      </c>
      <c r="O562" s="111">
        <f t="shared" si="54"/>
        <v>207.95548999999994</v>
      </c>
      <c r="P562" s="110">
        <f>'Detailed Report'!AM558</f>
        <v>0</v>
      </c>
      <c r="Q562" s="110">
        <f>'Detailed Report'!AN558</f>
        <v>0</v>
      </c>
      <c r="R562" s="110">
        <f>'Detailed Report'!AU558/1.14</f>
        <v>29.815789473684216</v>
      </c>
      <c r="S562" s="110">
        <f>'Detailed Report'!AU558-'........... - Otlob'!R562</f>
        <v>4.174210526315786</v>
      </c>
    </row>
    <row r="563" spans="1:19" ht="14.45" customHeight="1" x14ac:dyDescent="0.25">
      <c r="A563" s="105">
        <f>+IF(B563="","",SUBTOTAL(3,B$8:B563))</f>
        <v>556</v>
      </c>
      <c r="B563" s="106" t="str">
        <f>'Detailed Report'!O559</f>
        <v>Fuddruckers - Concord Plaza Mall</v>
      </c>
      <c r="C563" s="107">
        <f>TRUNC('Detailed Report'!Q559,0)</f>
        <v>46041</v>
      </c>
      <c r="D563" s="108">
        <f>'Detailed Report'!P559</f>
        <v>3408633992</v>
      </c>
      <c r="E563" s="106" t="str">
        <f>'Detailed Report'!S559</f>
        <v>Successful</v>
      </c>
      <c r="F563" s="109">
        <f>IF(E563=$E$6,('Detailed Report'!Y559),IF(E563=$E$5,(0),0))</f>
        <v>683.98</v>
      </c>
      <c r="G563" s="106">
        <f>IF(E563=$E$6,('Detailed Report'!AQ559),IF(E563=$E$5,('Detailed Report'!AW559),0))</f>
        <v>599.98245999999995</v>
      </c>
      <c r="H563" s="106">
        <f>'Detailed Report'!AS559</f>
        <v>149.99562</v>
      </c>
      <c r="I563" s="106">
        <f>'Detailed Report'!AT559</f>
        <v>20.9993868</v>
      </c>
      <c r="J563" s="106">
        <f>'Detailed Report'!AO559</f>
        <v>0</v>
      </c>
      <c r="K563" s="106">
        <f>'Detailed Report'!AP559</f>
        <v>0</v>
      </c>
      <c r="L563" s="106">
        <f>'Detailed Report'!AU559/1.14</f>
        <v>28.061403508771932</v>
      </c>
      <c r="M563" s="106">
        <f>'Detailed Report'!AU559-L563</f>
        <v>3.9285964912280669</v>
      </c>
      <c r="N563" s="110">
        <f>'Detailed Report'!AW559</f>
        <v>480.995</v>
      </c>
      <c r="O563" s="111">
        <f t="shared" si="54"/>
        <v>118.98745999999994</v>
      </c>
      <c r="P563" s="110">
        <f>'Detailed Report'!AM559</f>
        <v>0</v>
      </c>
      <c r="Q563" s="110">
        <f>'Detailed Report'!AN559</f>
        <v>0</v>
      </c>
      <c r="R563" s="110">
        <f>'Detailed Report'!AU559/1.14</f>
        <v>28.061403508771932</v>
      </c>
      <c r="S563" s="110">
        <f>'Detailed Report'!AU559-'........... - Otlob'!R563</f>
        <v>3.9285964912280669</v>
      </c>
    </row>
    <row r="564" spans="1:19" ht="14.45" customHeight="1" x14ac:dyDescent="0.25">
      <c r="A564" s="105">
        <f>+IF(B564="","",SUBTOTAL(3,B$8:B564))</f>
        <v>557</v>
      </c>
      <c r="B564" s="106" t="str">
        <f>'Detailed Report'!O560</f>
        <v>Fuddruckers - New Maadi</v>
      </c>
      <c r="C564" s="107">
        <f>TRUNC('Detailed Report'!Q560,0)</f>
        <v>46041</v>
      </c>
      <c r="D564" s="108">
        <f>'Detailed Report'!P560</f>
        <v>3408666147</v>
      </c>
      <c r="E564" s="106" t="str">
        <f>'Detailed Report'!S560</f>
        <v>Successful</v>
      </c>
      <c r="F564" s="109">
        <f>IF(E564=$E$6,('Detailed Report'!Y560),IF(E564=$E$5,(0),0))</f>
        <v>712.98</v>
      </c>
      <c r="G564" s="106">
        <f>IF(E564=$E$6,('Detailed Report'!AQ560),IF(E564=$E$5,('Detailed Report'!AW560),0))</f>
        <v>625.42105000000004</v>
      </c>
      <c r="H564" s="106">
        <f>'Detailed Report'!AS560</f>
        <v>156.35525999999999</v>
      </c>
      <c r="I564" s="106">
        <f>'Detailed Report'!AT560</f>
        <v>21.8897364</v>
      </c>
      <c r="J564" s="106">
        <f>'Detailed Report'!AO560</f>
        <v>0</v>
      </c>
      <c r="K564" s="106">
        <f>'Detailed Report'!AP560</f>
        <v>0</v>
      </c>
      <c r="L564" s="106">
        <f>'Detailed Report'!AU560/1.14</f>
        <v>26.307017543859651</v>
      </c>
      <c r="M564" s="106">
        <f>'Detailed Report'!AU560-L564</f>
        <v>3.6829824561403477</v>
      </c>
      <c r="N564" s="110">
        <f>'Detailed Report'!AW560</f>
        <v>504.745</v>
      </c>
      <c r="O564" s="111">
        <f t="shared" si="54"/>
        <v>120.67605000000003</v>
      </c>
      <c r="P564" s="110">
        <f>'Detailed Report'!AM560</f>
        <v>0</v>
      </c>
      <c r="Q564" s="110">
        <f>'Detailed Report'!AN560</f>
        <v>0</v>
      </c>
      <c r="R564" s="110">
        <f>'Detailed Report'!AU560/1.14</f>
        <v>26.307017543859651</v>
      </c>
      <c r="S564" s="110">
        <f>'Detailed Report'!AU560-'........... - Otlob'!R564</f>
        <v>3.6829824561403477</v>
      </c>
    </row>
    <row r="565" spans="1:19" ht="14.45" customHeight="1" x14ac:dyDescent="0.25">
      <c r="A565" s="105">
        <f>+IF(B565="","",SUBTOTAL(3,B$8:B565))</f>
        <v>558</v>
      </c>
      <c r="B565" s="106" t="str">
        <f>'Detailed Report'!O561</f>
        <v>Fuddruckers - Concord Plaza Mall</v>
      </c>
      <c r="C565" s="107">
        <f>TRUNC('Detailed Report'!Q561,0)</f>
        <v>46041</v>
      </c>
      <c r="D565" s="108">
        <f>'Detailed Report'!P561</f>
        <v>3408691067</v>
      </c>
      <c r="E565" s="106" t="str">
        <f>'Detailed Report'!S561</f>
        <v>Successful</v>
      </c>
      <c r="F565" s="109">
        <f>IF(E565=$E$6,('Detailed Report'!Y561),IF(E565=$E$5,(0),0))</f>
        <v>429.99</v>
      </c>
      <c r="G565" s="106">
        <f>IF(E565=$E$6,('Detailed Report'!AQ561),IF(E565=$E$5,('Detailed Report'!AW561),0))</f>
        <v>377.18421000000001</v>
      </c>
      <c r="H565" s="106">
        <f>'Detailed Report'!AS561</f>
        <v>94.296049999999994</v>
      </c>
      <c r="I565" s="106">
        <f>'Detailed Report'!AT561</f>
        <v>13.201447</v>
      </c>
      <c r="J565" s="106">
        <f>'Detailed Report'!AO561</f>
        <v>7.5248249999999999</v>
      </c>
      <c r="K565" s="106">
        <f>'Detailed Report'!AP561</f>
        <v>1.0534755</v>
      </c>
      <c r="L565" s="106">
        <f>'Detailed Report'!AU561/1.14</f>
        <v>29.815789473684216</v>
      </c>
      <c r="M565" s="106">
        <f>'Detailed Report'!AU561-L565</f>
        <v>4.174210526315786</v>
      </c>
      <c r="N565" s="110">
        <f>'Detailed Report'!AW561</f>
        <v>279.92399999999998</v>
      </c>
      <c r="O565" s="111">
        <f t="shared" si="54"/>
        <v>97.260210000000029</v>
      </c>
      <c r="P565" s="110">
        <f>'Detailed Report'!AM561</f>
        <v>0</v>
      </c>
      <c r="Q565" s="110">
        <f>'Detailed Report'!AN561</f>
        <v>0</v>
      </c>
      <c r="R565" s="110">
        <f>'Detailed Report'!AU561/1.14</f>
        <v>29.815789473684216</v>
      </c>
      <c r="S565" s="110">
        <f>'Detailed Report'!AU561-'........... - Otlob'!R565</f>
        <v>4.174210526315786</v>
      </c>
    </row>
    <row r="566" spans="1:19" ht="14.45" customHeight="1" x14ac:dyDescent="0.25">
      <c r="A566" s="105">
        <f>+IF(B566="","",SUBTOTAL(3,B$8:B566))</f>
        <v>559</v>
      </c>
      <c r="B566" s="106" t="str">
        <f>'Detailed Report'!O562</f>
        <v>Fuddruckers - Concord Plaza Mall</v>
      </c>
      <c r="C566" s="107">
        <f>TRUNC('Detailed Report'!Q562,0)</f>
        <v>46041</v>
      </c>
      <c r="D566" s="108">
        <f>'Detailed Report'!P562</f>
        <v>3408778159</v>
      </c>
      <c r="E566" s="106" t="str">
        <f>'Detailed Report'!S562</f>
        <v>Successful</v>
      </c>
      <c r="F566" s="109">
        <f>IF(E566=$E$6,('Detailed Report'!Y562),IF(E566=$E$5,(0),0))</f>
        <v>1349.96</v>
      </c>
      <c r="G566" s="106">
        <f>IF(E566=$E$6,('Detailed Report'!AQ562),IF(E566=$E$5,('Detailed Report'!AW562),0))</f>
        <v>1184.17544</v>
      </c>
      <c r="H566" s="106">
        <f>'Detailed Report'!AS562</f>
        <v>296.04386</v>
      </c>
      <c r="I566" s="106">
        <f>'Detailed Report'!AT562</f>
        <v>41.446140399999997</v>
      </c>
      <c r="J566" s="106">
        <f>'Detailed Report'!AO562</f>
        <v>23.624300000000002</v>
      </c>
      <c r="K566" s="106">
        <f>'Detailed Report'!AP562</f>
        <v>3.3074020000000002</v>
      </c>
      <c r="L566" s="106">
        <f>'Detailed Report'!AU562/1.14</f>
        <v>29.815789473684216</v>
      </c>
      <c r="M566" s="106">
        <f>'Detailed Report'!AU562-L566</f>
        <v>4.174210526315786</v>
      </c>
      <c r="N566" s="110">
        <f>'Detailed Report'!AW562</f>
        <v>951.548</v>
      </c>
      <c r="O566" s="111">
        <f t="shared" si="54"/>
        <v>232.62743999999998</v>
      </c>
      <c r="P566" s="110">
        <f>'Detailed Report'!AM562</f>
        <v>0</v>
      </c>
      <c r="Q566" s="110">
        <f>'Detailed Report'!AN562</f>
        <v>0</v>
      </c>
      <c r="R566" s="110">
        <f>'Detailed Report'!AU562/1.14</f>
        <v>29.815789473684216</v>
      </c>
      <c r="S566" s="110">
        <f>'Detailed Report'!AU562-'........... - Otlob'!R566</f>
        <v>4.174210526315786</v>
      </c>
    </row>
    <row r="567" spans="1:19" ht="14.45" customHeight="1" x14ac:dyDescent="0.25">
      <c r="A567" s="105">
        <f>+IF(B567="","",SUBTOTAL(3,B$8:B567))</f>
        <v>560</v>
      </c>
      <c r="B567" s="106" t="str">
        <f>'Detailed Report'!O563</f>
        <v>Fuddruckers - Concord Plaza Mall</v>
      </c>
      <c r="C567" s="107">
        <f>TRUNC('Detailed Report'!Q563,0)</f>
        <v>46041</v>
      </c>
      <c r="D567" s="108">
        <f>'Detailed Report'!P563</f>
        <v>3408798877</v>
      </c>
      <c r="E567" s="106" t="str">
        <f>'Detailed Report'!S563</f>
        <v>Successful</v>
      </c>
      <c r="F567" s="109">
        <f>IF(E567=$E$6,('Detailed Report'!Y563),IF(E567=$E$5,(0),0))</f>
        <v>353.99</v>
      </c>
      <c r="G567" s="106">
        <f>IF(E567=$E$6,('Detailed Report'!AQ563),IF(E567=$E$5,('Detailed Report'!AW563),0))</f>
        <v>310.51754</v>
      </c>
      <c r="H567" s="106">
        <f>'Detailed Report'!AS563</f>
        <v>77.629390000000001</v>
      </c>
      <c r="I567" s="106">
        <f>'Detailed Report'!AT563</f>
        <v>10.8681146</v>
      </c>
      <c r="J567" s="106">
        <f>'Detailed Report'!AO563</f>
        <v>6.1948249999999998</v>
      </c>
      <c r="K567" s="106">
        <f>'Detailed Report'!AP563</f>
        <v>0.86727549999999998</v>
      </c>
      <c r="L567" s="106">
        <f>'Detailed Report'!AU563/1.14</f>
        <v>0</v>
      </c>
      <c r="M567" s="106">
        <f>'Detailed Report'!AU563-L567</f>
        <v>0</v>
      </c>
      <c r="N567" s="110">
        <f>'Detailed Report'!AW563</f>
        <v>258.43</v>
      </c>
      <c r="O567" s="111">
        <f t="shared" si="54"/>
        <v>52.08753999999999</v>
      </c>
      <c r="P567" s="110">
        <f>'Detailed Report'!AM563</f>
        <v>0</v>
      </c>
      <c r="Q567" s="110">
        <f>'Detailed Report'!AN563</f>
        <v>0</v>
      </c>
      <c r="R567" s="110">
        <f>'Detailed Report'!AU563/1.14</f>
        <v>0</v>
      </c>
      <c r="S567" s="110">
        <f>'Detailed Report'!AU563-'........... - Otlob'!R567</f>
        <v>0</v>
      </c>
    </row>
    <row r="568" spans="1:19" ht="14.45" customHeight="1" x14ac:dyDescent="0.25">
      <c r="A568" s="105">
        <f>+IF(B568="","",SUBTOTAL(3,B$8:B568))</f>
        <v>561</v>
      </c>
      <c r="B568" s="106" t="str">
        <f>'Detailed Report'!O564</f>
        <v>Fuddruckers - Concord Plaza Mall</v>
      </c>
      <c r="C568" s="107">
        <f>TRUNC('Detailed Report'!Q564,0)</f>
        <v>46041</v>
      </c>
      <c r="D568" s="108">
        <f>'Detailed Report'!P564</f>
        <v>3408808346</v>
      </c>
      <c r="E568" s="106" t="str">
        <f>'Detailed Report'!S564</f>
        <v>Successful</v>
      </c>
      <c r="F568" s="109">
        <f>IF(E568=$E$6,('Detailed Report'!Y564),IF(E568=$E$5,(0),0))</f>
        <v>369.67</v>
      </c>
      <c r="G568" s="106">
        <f>IF(E568=$E$6,('Detailed Report'!AQ564),IF(E568=$E$5,('Detailed Report'!AW564),0))</f>
        <v>324.27193</v>
      </c>
      <c r="H568" s="106">
        <f>'Detailed Report'!AS564</f>
        <v>81.067980000000006</v>
      </c>
      <c r="I568" s="106">
        <f>'Detailed Report'!AT564</f>
        <v>11.349517199999999</v>
      </c>
      <c r="J568" s="106">
        <f>'Detailed Report'!AO564</f>
        <v>6.4692249999999998</v>
      </c>
      <c r="K568" s="106">
        <f>'Detailed Report'!AP564</f>
        <v>0.90569149999999998</v>
      </c>
      <c r="L568" s="106">
        <f>'Detailed Report'!AU564/1.14</f>
        <v>29.815789473684216</v>
      </c>
      <c r="M568" s="106">
        <f>'Detailed Report'!AU564-L568</f>
        <v>4.174210526315786</v>
      </c>
      <c r="N568" s="110">
        <f>'Detailed Report'!AW564</f>
        <v>235.88800000000001</v>
      </c>
      <c r="O568" s="111">
        <f t="shared" si="54"/>
        <v>88.383929999999992</v>
      </c>
      <c r="P568" s="110">
        <f>'Detailed Report'!AM564</f>
        <v>0</v>
      </c>
      <c r="Q568" s="110">
        <f>'Detailed Report'!AN564</f>
        <v>0</v>
      </c>
      <c r="R568" s="110">
        <f>'Detailed Report'!AU564/1.14</f>
        <v>29.815789473684216</v>
      </c>
      <c r="S568" s="110">
        <f>'Detailed Report'!AU564-'........... - Otlob'!R568</f>
        <v>4.174210526315786</v>
      </c>
    </row>
    <row r="569" spans="1:19" ht="14.45" customHeight="1" x14ac:dyDescent="0.25">
      <c r="A569" s="105">
        <f>+IF(B569="","",SUBTOTAL(3,B$8:B569))</f>
        <v>562</v>
      </c>
      <c r="B569" s="106" t="str">
        <f>'Detailed Report'!O565</f>
        <v>Fuddruckers - Concord Plaza Mall</v>
      </c>
      <c r="C569" s="107">
        <f>TRUNC('Detailed Report'!Q565,0)</f>
        <v>46041</v>
      </c>
      <c r="D569" s="108">
        <f>'Detailed Report'!P565</f>
        <v>3408845207</v>
      </c>
      <c r="E569" s="106" t="str">
        <f>'Detailed Report'!S565</f>
        <v>Successful</v>
      </c>
      <c r="F569" s="109">
        <f>IF(E569=$E$6,('Detailed Report'!Y565),IF(E569=$E$5,(0),0))</f>
        <v>339.66</v>
      </c>
      <c r="G569" s="106">
        <f>IF(E569=$E$6,('Detailed Report'!AQ565),IF(E569=$E$5,('Detailed Report'!AW565),0))</f>
        <v>297.94736999999998</v>
      </c>
      <c r="H569" s="106">
        <f>'Detailed Report'!AS565</f>
        <v>74.486840000000001</v>
      </c>
      <c r="I569" s="106">
        <f>'Detailed Report'!AT565</f>
        <v>10.4281576</v>
      </c>
      <c r="J569" s="106">
        <f>'Detailed Report'!AO565</f>
        <v>0</v>
      </c>
      <c r="K569" s="106">
        <f>'Detailed Report'!AP565</f>
        <v>0</v>
      </c>
      <c r="L569" s="106">
        <f>'Detailed Report'!AU565/1.14</f>
        <v>30.692982456140356</v>
      </c>
      <c r="M569" s="106">
        <f>'Detailed Report'!AU565-L569</f>
        <v>4.2970175438596456</v>
      </c>
      <c r="N569" s="110">
        <f>'Detailed Report'!AW565</f>
        <v>219.755</v>
      </c>
      <c r="O569" s="111">
        <f t="shared" si="54"/>
        <v>78.192369999999983</v>
      </c>
      <c r="P569" s="110">
        <f>'Detailed Report'!AM565</f>
        <v>0</v>
      </c>
      <c r="Q569" s="110">
        <f>'Detailed Report'!AN565</f>
        <v>0</v>
      </c>
      <c r="R569" s="110">
        <f>'Detailed Report'!AU565/1.14</f>
        <v>30.692982456140356</v>
      </c>
      <c r="S569" s="110">
        <f>'Detailed Report'!AU565-'........... - Otlob'!R569</f>
        <v>4.2970175438596456</v>
      </c>
    </row>
    <row r="570" spans="1:19" ht="14.45" customHeight="1" x14ac:dyDescent="0.25">
      <c r="A570" s="105">
        <f>+IF(B570="","",SUBTOTAL(3,B$8:B570))</f>
        <v>563</v>
      </c>
      <c r="B570" s="106" t="str">
        <f>'Detailed Report'!O566</f>
        <v>Fuddruckers - Concord Plaza Mall</v>
      </c>
      <c r="C570" s="107">
        <f>TRUNC('Detailed Report'!Q566,0)</f>
        <v>46041</v>
      </c>
      <c r="D570" s="108">
        <f>'Detailed Report'!P566</f>
        <v>3408856270</v>
      </c>
      <c r="E570" s="106" t="str">
        <f>'Detailed Report'!S566</f>
        <v>Successful</v>
      </c>
      <c r="F570" s="109">
        <f>IF(E570=$E$6,('Detailed Report'!Y566),IF(E570=$E$5,(0),0))</f>
        <v>294.99</v>
      </c>
      <c r="G570" s="106">
        <f>IF(E570=$E$6,('Detailed Report'!AQ566),IF(E570=$E$5,('Detailed Report'!AW566),0))</f>
        <v>258.76316000000003</v>
      </c>
      <c r="H570" s="106">
        <f>'Detailed Report'!AS566</f>
        <v>64.690790000000007</v>
      </c>
      <c r="I570" s="106">
        <f>'Detailed Report'!AT566</f>
        <v>9.0567106000000006</v>
      </c>
      <c r="J570" s="106">
        <f>'Detailed Report'!AO566</f>
        <v>5.1623250000000001</v>
      </c>
      <c r="K570" s="106">
        <f>'Detailed Report'!AP566</f>
        <v>0.72272550000000002</v>
      </c>
      <c r="L570" s="106">
        <f>'Detailed Report'!AU566/1.14</f>
        <v>28.938596491228076</v>
      </c>
      <c r="M570" s="106">
        <f>'Detailed Report'!AU566-L570</f>
        <v>4.0514035087719265</v>
      </c>
      <c r="N570" s="110">
        <f>'Detailed Report'!AW566</f>
        <v>182.36699999999999</v>
      </c>
      <c r="O570" s="111">
        <f t="shared" si="54"/>
        <v>76.396160000000037</v>
      </c>
      <c r="P570" s="110">
        <f>'Detailed Report'!AM566</f>
        <v>0</v>
      </c>
      <c r="Q570" s="110">
        <f>'Detailed Report'!AN566</f>
        <v>0</v>
      </c>
      <c r="R570" s="110">
        <f>'Detailed Report'!AU566/1.14</f>
        <v>28.938596491228076</v>
      </c>
      <c r="S570" s="110">
        <f>'Detailed Report'!AU566-'........... - Otlob'!R570</f>
        <v>4.0514035087719265</v>
      </c>
    </row>
    <row r="571" spans="1:19" ht="14.45" customHeight="1" x14ac:dyDescent="0.25">
      <c r="A571" s="105">
        <f>+IF(B571="","",SUBTOTAL(3,B$8:B571))</f>
        <v>564</v>
      </c>
      <c r="B571" s="106" t="str">
        <f>'Detailed Report'!O567</f>
        <v>Fuddruckers - Concord Plaza Mall</v>
      </c>
      <c r="C571" s="107">
        <f>TRUNC('Detailed Report'!Q567,0)</f>
        <v>46041</v>
      </c>
      <c r="D571" s="108">
        <f>'Detailed Report'!P567</f>
        <v>3408890115</v>
      </c>
      <c r="E571" s="106" t="str">
        <f>'Detailed Report'!S567</f>
        <v>Successful</v>
      </c>
      <c r="F571" s="109">
        <f>IF(E571=$E$6,('Detailed Report'!Y567),IF(E571=$E$5,(0),0))</f>
        <v>509.96</v>
      </c>
      <c r="G571" s="106">
        <f>IF(E571=$E$6,('Detailed Report'!AQ567),IF(E571=$E$5,('Detailed Report'!AW567),0))</f>
        <v>447.33332999999999</v>
      </c>
      <c r="H571" s="106">
        <f>'Detailed Report'!AS567</f>
        <v>111.83333</v>
      </c>
      <c r="I571" s="106">
        <f>'Detailed Report'!AT567</f>
        <v>15.6566662</v>
      </c>
      <c r="J571" s="106">
        <f>'Detailed Report'!AO567</f>
        <v>0</v>
      </c>
      <c r="K571" s="106">
        <f>'Detailed Report'!AP567</f>
        <v>0</v>
      </c>
      <c r="L571" s="106">
        <f>'Detailed Report'!AU567/1.14</f>
        <v>0</v>
      </c>
      <c r="M571" s="106">
        <f>'Detailed Report'!AU567-L571</f>
        <v>0</v>
      </c>
      <c r="N571" s="110">
        <f>'Detailed Report'!AW567</f>
        <v>382.47</v>
      </c>
      <c r="O571" s="111">
        <f t="shared" si="54"/>
        <v>64.863329999999962</v>
      </c>
      <c r="P571" s="110">
        <f>'Detailed Report'!AM567</f>
        <v>0</v>
      </c>
      <c r="Q571" s="110">
        <f>'Detailed Report'!AN567</f>
        <v>0</v>
      </c>
      <c r="R571" s="110">
        <f>'Detailed Report'!AU567/1.14</f>
        <v>0</v>
      </c>
      <c r="S571" s="110">
        <f>'Detailed Report'!AU567-'........... - Otlob'!R571</f>
        <v>0</v>
      </c>
    </row>
    <row r="572" spans="1:19" ht="14.45" customHeight="1" x14ac:dyDescent="0.25">
      <c r="A572" s="105">
        <f>+IF(B572="","",SUBTOTAL(3,B$8:B572))</f>
        <v>565</v>
      </c>
      <c r="B572" s="106" t="str">
        <f>'Detailed Report'!O568</f>
        <v>Fuddruckers - Concord Plaza Mall</v>
      </c>
      <c r="C572" s="107">
        <f>TRUNC('Detailed Report'!Q568,0)</f>
        <v>46041</v>
      </c>
      <c r="D572" s="108">
        <f>'Detailed Report'!P568</f>
        <v>3408939261</v>
      </c>
      <c r="E572" s="106" t="str">
        <f>'Detailed Report'!S568</f>
        <v>Successful</v>
      </c>
      <c r="F572" s="109">
        <f>IF(E572=$E$6,('Detailed Report'!Y568),IF(E572=$E$5,(0),0))</f>
        <v>1305.96</v>
      </c>
      <c r="G572" s="106">
        <f>IF(E572=$E$6,('Detailed Report'!AQ568),IF(E572=$E$5,('Detailed Report'!AW568),0))</f>
        <v>1145.5789500000001</v>
      </c>
      <c r="H572" s="106">
        <f>'Detailed Report'!AS568</f>
        <v>286.39474000000001</v>
      </c>
      <c r="I572" s="106">
        <f>'Detailed Report'!AT568</f>
        <v>40.095263600000003</v>
      </c>
      <c r="J572" s="106">
        <f>'Detailed Report'!AO568</f>
        <v>22.854299999999999</v>
      </c>
      <c r="K572" s="106">
        <f>'Detailed Report'!AP568</f>
        <v>3.1996020000000001</v>
      </c>
      <c r="L572" s="106">
        <f>'Detailed Report'!AU568/1.14</f>
        <v>28.061403508771932</v>
      </c>
      <c r="M572" s="106">
        <f>'Detailed Report'!AU568-L572</f>
        <v>3.9285964912280669</v>
      </c>
      <c r="N572" s="110">
        <f>'Detailed Report'!AW568</f>
        <v>921.42600000000004</v>
      </c>
      <c r="O572" s="111">
        <f t="shared" si="54"/>
        <v>224.15295000000003</v>
      </c>
      <c r="P572" s="110">
        <f>'Detailed Report'!AM568</f>
        <v>0</v>
      </c>
      <c r="Q572" s="110">
        <f>'Detailed Report'!AN568</f>
        <v>0</v>
      </c>
      <c r="R572" s="110">
        <f>'Detailed Report'!AU568/1.14</f>
        <v>28.061403508771932</v>
      </c>
      <c r="S572" s="110">
        <f>'Detailed Report'!AU568-'........... - Otlob'!R572</f>
        <v>3.9285964912280669</v>
      </c>
    </row>
    <row r="573" spans="1:19" ht="14.45" customHeight="1" x14ac:dyDescent="0.25">
      <c r="A573" s="105">
        <f>+IF(B573="","",SUBTOTAL(3,B$8:B573))</f>
        <v>566</v>
      </c>
      <c r="B573" s="106" t="str">
        <f>'Detailed Report'!O569</f>
        <v>Fuddruckers - Concord Plaza Mall</v>
      </c>
      <c r="C573" s="107">
        <f>TRUNC('Detailed Report'!Q569,0)</f>
        <v>46041</v>
      </c>
      <c r="D573" s="108">
        <f>'Detailed Report'!P569</f>
        <v>3408959312</v>
      </c>
      <c r="E573" s="106" t="str">
        <f>'Detailed Report'!S569</f>
        <v>Successful</v>
      </c>
      <c r="F573" s="109">
        <f>IF(E573=$E$6,('Detailed Report'!Y569),IF(E573=$E$5,(0),0))</f>
        <v>244.99</v>
      </c>
      <c r="G573" s="106">
        <f>IF(E573=$E$6,('Detailed Report'!AQ569),IF(E573=$E$5,('Detailed Report'!AW569),0))</f>
        <v>214.90351000000001</v>
      </c>
      <c r="H573" s="106">
        <f>'Detailed Report'!AS569</f>
        <v>53.725879999999997</v>
      </c>
      <c r="I573" s="106">
        <f>'Detailed Report'!AT569</f>
        <v>7.5216231999999996</v>
      </c>
      <c r="J573" s="106">
        <f>'Detailed Report'!AO569</f>
        <v>4.2873250000000001</v>
      </c>
      <c r="K573" s="106">
        <f>'Detailed Report'!AP569</f>
        <v>0.60022549999999997</v>
      </c>
      <c r="L573" s="106">
        <f>'Detailed Report'!AU569/1.14</f>
        <v>27.184210526315791</v>
      </c>
      <c r="M573" s="106">
        <f>'Detailed Report'!AU569-L573</f>
        <v>3.8057894736842073</v>
      </c>
      <c r="N573" s="110">
        <f>'Detailed Report'!AW569</f>
        <v>147.86500000000001</v>
      </c>
      <c r="O573" s="111">
        <f t="shared" si="54"/>
        <v>67.038510000000002</v>
      </c>
      <c r="P573" s="110">
        <f>'Detailed Report'!AM569</f>
        <v>0</v>
      </c>
      <c r="Q573" s="110">
        <f>'Detailed Report'!AN569</f>
        <v>0</v>
      </c>
      <c r="R573" s="110">
        <f>'Detailed Report'!AU569/1.14</f>
        <v>27.184210526315791</v>
      </c>
      <c r="S573" s="110">
        <f>'Detailed Report'!AU569-'........... - Otlob'!R573</f>
        <v>3.8057894736842073</v>
      </c>
    </row>
    <row r="574" spans="1:19" ht="14.45" customHeight="1" x14ac:dyDescent="0.25">
      <c r="A574" s="105">
        <f>+IF(B574="","",SUBTOTAL(3,B$8:B574))</f>
        <v>567</v>
      </c>
      <c r="B574" s="106" t="str">
        <f>'Detailed Report'!O570</f>
        <v>Fuddruckers - Concord Plaza Mall</v>
      </c>
      <c r="C574" s="107">
        <f>TRUNC('Detailed Report'!Q570,0)</f>
        <v>46041</v>
      </c>
      <c r="D574" s="108">
        <f>'Detailed Report'!P570</f>
        <v>3409020994</v>
      </c>
      <c r="E574" s="106" t="str">
        <f>'Detailed Report'!S570</f>
        <v>Successful</v>
      </c>
      <c r="F574" s="109">
        <f>IF(E574=$E$6,('Detailed Report'!Y570),IF(E574=$E$5,(0),0))</f>
        <v>445.99</v>
      </c>
      <c r="G574" s="106">
        <f>IF(E574=$E$6,('Detailed Report'!AQ570),IF(E574=$E$5,('Detailed Report'!AW570),0))</f>
        <v>391.21929999999998</v>
      </c>
      <c r="H574" s="106">
        <f>'Detailed Report'!AS570</f>
        <v>97.804829999999995</v>
      </c>
      <c r="I574" s="106">
        <f>'Detailed Report'!AT570</f>
        <v>13.692676199999999</v>
      </c>
      <c r="J574" s="106">
        <f>'Detailed Report'!AO570</f>
        <v>7.8048250000000001</v>
      </c>
      <c r="K574" s="106">
        <f>'Detailed Report'!AP570</f>
        <v>1.0926754999999999</v>
      </c>
      <c r="L574" s="106">
        <f>'Detailed Report'!AU570/1.14</f>
        <v>29.815789473684216</v>
      </c>
      <c r="M574" s="106">
        <f>'Detailed Report'!AU570-L574</f>
        <v>4.174210526315786</v>
      </c>
      <c r="N574" s="110">
        <f>'Detailed Report'!AW570</f>
        <v>291.60500000000002</v>
      </c>
      <c r="O574" s="111">
        <f t="shared" si="54"/>
        <v>99.614299999999957</v>
      </c>
      <c r="P574" s="110">
        <f>'Detailed Report'!AM570</f>
        <v>0</v>
      </c>
      <c r="Q574" s="110">
        <f>'Detailed Report'!AN570</f>
        <v>0</v>
      </c>
      <c r="R574" s="110">
        <f>'Detailed Report'!AU570/1.14</f>
        <v>29.815789473684216</v>
      </c>
      <c r="S574" s="110">
        <f>'Detailed Report'!AU570-'........... - Otlob'!R574</f>
        <v>4.174210526315786</v>
      </c>
    </row>
    <row r="575" spans="1:19" ht="14.45" customHeight="1" x14ac:dyDescent="0.25">
      <c r="A575" s="105">
        <f>+IF(B575="","",SUBTOTAL(3,B$8:B575))</f>
        <v>568</v>
      </c>
      <c r="B575" s="106" t="str">
        <f>'Detailed Report'!O571</f>
        <v>Fuddruckers - Concord Plaza Mall</v>
      </c>
      <c r="C575" s="107">
        <f>TRUNC('Detailed Report'!Q571,0)</f>
        <v>46041</v>
      </c>
      <c r="D575" s="108">
        <f>'Detailed Report'!P571</f>
        <v>3409078293</v>
      </c>
      <c r="E575" s="106" t="str">
        <f>'Detailed Report'!S571</f>
        <v>Successful</v>
      </c>
      <c r="F575" s="109">
        <f>IF(E575=$E$6,('Detailed Report'!Y571),IF(E575=$E$5,(0),0))</f>
        <v>353.99</v>
      </c>
      <c r="G575" s="106">
        <f>IF(E575=$E$6,('Detailed Report'!AQ571),IF(E575=$E$5,('Detailed Report'!AW571),0))</f>
        <v>310.51754</v>
      </c>
      <c r="H575" s="106">
        <f>'Detailed Report'!AS571</f>
        <v>77.629390000000001</v>
      </c>
      <c r="I575" s="106">
        <f>'Detailed Report'!AT571</f>
        <v>10.8681146</v>
      </c>
      <c r="J575" s="106">
        <f>'Detailed Report'!AO571</f>
        <v>6.1948249999999998</v>
      </c>
      <c r="K575" s="106">
        <f>'Detailed Report'!AP571</f>
        <v>0.86727549999999998</v>
      </c>
      <c r="L575" s="106">
        <f>'Detailed Report'!AU571/1.14</f>
        <v>28.061403508771932</v>
      </c>
      <c r="M575" s="106">
        <f>'Detailed Report'!AU571-L575</f>
        <v>3.9285964912280669</v>
      </c>
      <c r="N575" s="110">
        <f>'Detailed Report'!AW571</f>
        <v>226.44</v>
      </c>
      <c r="O575" s="111">
        <f t="shared" si="54"/>
        <v>84.077539999999999</v>
      </c>
      <c r="P575" s="110">
        <f>'Detailed Report'!AM571</f>
        <v>0</v>
      </c>
      <c r="Q575" s="110">
        <f>'Detailed Report'!AN571</f>
        <v>0</v>
      </c>
      <c r="R575" s="110">
        <f>'Detailed Report'!AU571/1.14</f>
        <v>28.061403508771932</v>
      </c>
      <c r="S575" s="110">
        <f>'Detailed Report'!AU571-'........... - Otlob'!R575</f>
        <v>3.9285964912280669</v>
      </c>
    </row>
    <row r="576" spans="1:19" ht="14.45" customHeight="1" x14ac:dyDescent="0.25">
      <c r="A576" s="105">
        <f>+IF(B576="","",SUBTOTAL(3,B$8:B576))</f>
        <v>569</v>
      </c>
      <c r="B576" s="106" t="str">
        <f>'Detailed Report'!O572</f>
        <v>Fuddruckers - New Maadi</v>
      </c>
      <c r="C576" s="107">
        <f>TRUNC('Detailed Report'!Q572,0)</f>
        <v>46042</v>
      </c>
      <c r="D576" s="108">
        <f>'Detailed Report'!P572</f>
        <v>3409513972</v>
      </c>
      <c r="E576" s="106" t="str">
        <f>'Detailed Report'!S572</f>
        <v>Successful</v>
      </c>
      <c r="F576" s="109">
        <f>IF(E576=$E$6,('Detailed Report'!Y572),IF(E576=$E$5,(0),0))</f>
        <v>313.98</v>
      </c>
      <c r="G576" s="106">
        <f>IF(E576=$E$6,('Detailed Report'!AQ572),IF(E576=$E$5,('Detailed Report'!AW572),0))</f>
        <v>275.42104999999998</v>
      </c>
      <c r="H576" s="106">
        <f>'Detailed Report'!AS572</f>
        <v>68.855260000000001</v>
      </c>
      <c r="I576" s="106">
        <f>'Detailed Report'!AT572</f>
        <v>9.6397364000000003</v>
      </c>
      <c r="J576" s="106">
        <f>'Detailed Report'!AO572</f>
        <v>5.49465</v>
      </c>
      <c r="K576" s="106">
        <f>'Detailed Report'!AP572</f>
        <v>0.76925100000000002</v>
      </c>
      <c r="L576" s="106">
        <f>'Detailed Report'!AU572/1.14</f>
        <v>25.42982456140351</v>
      </c>
      <c r="M576" s="106">
        <f>'Detailed Report'!AU572-L576</f>
        <v>3.5601754385964881</v>
      </c>
      <c r="N576" s="110">
        <f>'Detailed Report'!AW572</f>
        <v>200.23099999999999</v>
      </c>
      <c r="O576" s="111">
        <f t="shared" si="54"/>
        <v>75.190049999999985</v>
      </c>
      <c r="P576" s="110">
        <f>'Detailed Report'!AM572</f>
        <v>0</v>
      </c>
      <c r="Q576" s="110">
        <f>'Detailed Report'!AN572</f>
        <v>0</v>
      </c>
      <c r="R576" s="110">
        <f>'Detailed Report'!AU572/1.14</f>
        <v>25.42982456140351</v>
      </c>
      <c r="S576" s="110">
        <f>'Detailed Report'!AU572-'........... - Otlob'!R576</f>
        <v>3.5601754385964881</v>
      </c>
    </row>
    <row r="577" spans="1:19" ht="14.45" customHeight="1" x14ac:dyDescent="0.25">
      <c r="A577" s="105">
        <f>+IF(B577="","",SUBTOTAL(3,B$8:B577))</f>
        <v>570</v>
      </c>
      <c r="B577" s="106" t="str">
        <f>'Detailed Report'!O573</f>
        <v>Fuddruckers - New Maadi</v>
      </c>
      <c r="C577" s="107">
        <f>TRUNC('Detailed Report'!Q573,0)</f>
        <v>46042</v>
      </c>
      <c r="D577" s="108">
        <f>'Detailed Report'!P573</f>
        <v>3409540337</v>
      </c>
      <c r="E577" s="106" t="str">
        <f>'Detailed Report'!S573</f>
        <v>Successful</v>
      </c>
      <c r="F577" s="109">
        <f>IF(E577=$E$6,('Detailed Report'!Y573),IF(E577=$E$5,(0),0))</f>
        <v>441.98</v>
      </c>
      <c r="G577" s="106">
        <f>IF(E577=$E$6,('Detailed Report'!AQ573),IF(E577=$E$5,('Detailed Report'!AW573),0))</f>
        <v>387.70175</v>
      </c>
      <c r="H577" s="106">
        <f>'Detailed Report'!AS573</f>
        <v>96.925439999999995</v>
      </c>
      <c r="I577" s="106">
        <f>'Detailed Report'!AT573</f>
        <v>13.5695616</v>
      </c>
      <c r="J577" s="106">
        <f>'Detailed Report'!AO573</f>
        <v>7.7346500000000002</v>
      </c>
      <c r="K577" s="106">
        <f>'Detailed Report'!AP573</f>
        <v>1.082851</v>
      </c>
      <c r="L577" s="106">
        <f>'Detailed Report'!AU573/1.14</f>
        <v>25.42982456140351</v>
      </c>
      <c r="M577" s="106">
        <f>'Detailed Report'!AU573-L577</f>
        <v>3.5601754385964881</v>
      </c>
      <c r="N577" s="110">
        <f>'Detailed Report'!AW573</f>
        <v>293.67700000000002</v>
      </c>
      <c r="O577" s="111">
        <f t="shared" si="54"/>
        <v>94.024749999999983</v>
      </c>
      <c r="P577" s="110">
        <f>'Detailed Report'!AM573</f>
        <v>0</v>
      </c>
      <c r="Q577" s="110">
        <f>'Detailed Report'!AN573</f>
        <v>0</v>
      </c>
      <c r="R577" s="110">
        <f>'Detailed Report'!AU573/1.14</f>
        <v>25.42982456140351</v>
      </c>
      <c r="S577" s="110">
        <f>'Detailed Report'!AU573-'........... - Otlob'!R577</f>
        <v>3.5601754385964881</v>
      </c>
    </row>
    <row r="578" spans="1:19" ht="14.45" customHeight="1" x14ac:dyDescent="0.25">
      <c r="A578" s="105">
        <f>+IF(B578="","",SUBTOTAL(3,B$8:B578))</f>
        <v>571</v>
      </c>
      <c r="B578" s="106" t="str">
        <f>'Detailed Report'!O574</f>
        <v>Fuddruckers - Concord Plaza Mall</v>
      </c>
      <c r="C578" s="107">
        <f>TRUNC('Detailed Report'!Q574,0)</f>
        <v>46042</v>
      </c>
      <c r="D578" s="108">
        <f>'Detailed Report'!P574</f>
        <v>3409612606</v>
      </c>
      <c r="E578" s="106" t="str">
        <f>'Detailed Report'!S574</f>
        <v>Successful</v>
      </c>
      <c r="F578" s="109">
        <f>IF(E578=$E$6,('Detailed Report'!Y574),IF(E578=$E$5,(0),0))</f>
        <v>1097.96</v>
      </c>
      <c r="G578" s="106">
        <f>IF(E578=$E$6,('Detailed Report'!AQ574),IF(E578=$E$5,('Detailed Report'!AW574),0))</f>
        <v>963.12280999999996</v>
      </c>
      <c r="H578" s="106">
        <f>'Detailed Report'!AS574</f>
        <v>240.7807</v>
      </c>
      <c r="I578" s="106">
        <f>'Detailed Report'!AT574</f>
        <v>33.709297999999997</v>
      </c>
      <c r="J578" s="106">
        <f>'Detailed Report'!AO574</f>
        <v>19.214298249999999</v>
      </c>
      <c r="K578" s="106">
        <f>'Detailed Report'!AP574</f>
        <v>2.6900017549999999</v>
      </c>
      <c r="L578" s="106">
        <f>'Detailed Report'!AU574/1.14</f>
        <v>0</v>
      </c>
      <c r="M578" s="106">
        <f>'Detailed Report'!AU574-L578</f>
        <v>0</v>
      </c>
      <c r="N578" s="110">
        <f>'Detailed Report'!AW574</f>
        <v>767.36599999999999</v>
      </c>
      <c r="O578" s="111">
        <f t="shared" si="54"/>
        <v>195.75680999999997</v>
      </c>
      <c r="P578" s="110">
        <f>'Detailed Report'!AM574</f>
        <v>30</v>
      </c>
      <c r="Q578" s="110">
        <f>'Detailed Report'!AN574</f>
        <v>4.2</v>
      </c>
      <c r="R578" s="110">
        <f>'Detailed Report'!AU574/1.14</f>
        <v>0</v>
      </c>
      <c r="S578" s="110">
        <f>'Detailed Report'!AU574-'........... - Otlob'!R578</f>
        <v>0</v>
      </c>
    </row>
    <row r="579" spans="1:19" ht="14.45" customHeight="1" x14ac:dyDescent="0.25">
      <c r="A579" s="105">
        <f>+IF(B579="","",SUBTOTAL(3,B$8:B579))</f>
        <v>572</v>
      </c>
      <c r="B579" s="106" t="str">
        <f>'Detailed Report'!O575</f>
        <v>Fuddruckers - Concord Plaza Mall</v>
      </c>
      <c r="C579" s="107">
        <f>TRUNC('Detailed Report'!Q575,0)</f>
        <v>46042</v>
      </c>
      <c r="D579" s="108">
        <f>'Detailed Report'!P575</f>
        <v>3409677496</v>
      </c>
      <c r="E579" s="106" t="str">
        <f>'Detailed Report'!S575</f>
        <v>Successful</v>
      </c>
      <c r="F579" s="109">
        <f>IF(E579=$E$6,('Detailed Report'!Y575),IF(E579=$E$5,(0),0))</f>
        <v>466.99</v>
      </c>
      <c r="G579" s="106">
        <f>IF(E579=$E$6,('Detailed Report'!AQ575),IF(E579=$E$5,('Detailed Report'!AW575),0))</f>
        <v>409.64035000000001</v>
      </c>
      <c r="H579" s="106">
        <f>'Detailed Report'!AS575</f>
        <v>102.41009</v>
      </c>
      <c r="I579" s="106">
        <f>'Detailed Report'!AT575</f>
        <v>14.3374126</v>
      </c>
      <c r="J579" s="106">
        <f>'Detailed Report'!AO575</f>
        <v>8.1723250000000007</v>
      </c>
      <c r="K579" s="106">
        <f>'Detailed Report'!AP575</f>
        <v>1.1441254999999999</v>
      </c>
      <c r="L579" s="106">
        <f>'Detailed Report'!AU575/1.14</f>
        <v>0</v>
      </c>
      <c r="M579" s="106">
        <f>'Detailed Report'!AU575-L579</f>
        <v>0</v>
      </c>
      <c r="N579" s="110">
        <f>'Detailed Report'!AW575</f>
        <v>340.92599999999999</v>
      </c>
      <c r="O579" s="111">
        <f t="shared" si="54"/>
        <v>68.714350000000024</v>
      </c>
      <c r="P579" s="110">
        <f>'Detailed Report'!AM575</f>
        <v>0</v>
      </c>
      <c r="Q579" s="110">
        <f>'Detailed Report'!AN575</f>
        <v>0</v>
      </c>
      <c r="R579" s="110">
        <f>'Detailed Report'!AU575/1.14</f>
        <v>0</v>
      </c>
      <c r="S579" s="110">
        <f>'Detailed Report'!AU575-'........... - Otlob'!R579</f>
        <v>0</v>
      </c>
    </row>
    <row r="580" spans="1:19" ht="14.45" customHeight="1" x14ac:dyDescent="0.25">
      <c r="A580" s="105">
        <f>+IF(B580="","",SUBTOTAL(3,B$8:B580))</f>
        <v>573</v>
      </c>
      <c r="B580" s="106" t="str">
        <f>'Detailed Report'!O576</f>
        <v>Fuddruckers - New Maadi</v>
      </c>
      <c r="C580" s="107">
        <f>TRUNC('Detailed Report'!Q576,0)</f>
        <v>46042</v>
      </c>
      <c r="D580" s="108">
        <f>'Detailed Report'!P576</f>
        <v>3409740248</v>
      </c>
      <c r="E580" s="106" t="str">
        <f>'Detailed Report'!S576</f>
        <v>Successful</v>
      </c>
      <c r="F580" s="109">
        <f>IF(E580=$E$6,('Detailed Report'!Y576),IF(E580=$E$5,(0),0))</f>
        <v>266.99</v>
      </c>
      <c r="G580" s="106">
        <f>IF(E580=$E$6,('Detailed Report'!AQ576),IF(E580=$E$5,('Detailed Report'!AW576),0))</f>
        <v>234.20175</v>
      </c>
      <c r="H580" s="106">
        <f>'Detailed Report'!AS576</f>
        <v>58.550440000000002</v>
      </c>
      <c r="I580" s="106">
        <f>'Detailed Report'!AT576</f>
        <v>8.1970615999999996</v>
      </c>
      <c r="J580" s="106">
        <f>'Detailed Report'!AO576</f>
        <v>4.6723249999999998</v>
      </c>
      <c r="K580" s="106">
        <f>'Detailed Report'!AP576</f>
        <v>0.65412550000000003</v>
      </c>
      <c r="L580" s="106">
        <f>'Detailed Report'!AU576/1.14</f>
        <v>25.42982456140351</v>
      </c>
      <c r="M580" s="106">
        <f>'Detailed Report'!AU576-L580</f>
        <v>3.5601754385964881</v>
      </c>
      <c r="N580" s="110">
        <f>'Detailed Report'!AW576</f>
        <v>165.92599999999999</v>
      </c>
      <c r="O580" s="111">
        <f t="shared" si="54"/>
        <v>68.275750000000016</v>
      </c>
      <c r="P580" s="110">
        <f>'Detailed Report'!AM576</f>
        <v>0</v>
      </c>
      <c r="Q580" s="110">
        <f>'Detailed Report'!AN576</f>
        <v>0</v>
      </c>
      <c r="R580" s="110">
        <f>'Detailed Report'!AU576/1.14</f>
        <v>25.42982456140351</v>
      </c>
      <c r="S580" s="110">
        <f>'Detailed Report'!AU576-'........... - Otlob'!R580</f>
        <v>3.5601754385964881</v>
      </c>
    </row>
    <row r="581" spans="1:19" ht="14.45" customHeight="1" x14ac:dyDescent="0.25">
      <c r="A581" s="105">
        <f>+IF(B581="","",SUBTOTAL(3,B$8:B581))</f>
        <v>574</v>
      </c>
      <c r="B581" s="106" t="str">
        <f>'Detailed Report'!O577</f>
        <v>Fuddruckers - Concord Plaza Mall</v>
      </c>
      <c r="C581" s="107">
        <f>TRUNC('Detailed Report'!Q577,0)</f>
        <v>46042</v>
      </c>
      <c r="D581" s="108">
        <f>'Detailed Report'!P577</f>
        <v>3409743894</v>
      </c>
      <c r="E581" s="106" t="str">
        <f>'Detailed Report'!S577</f>
        <v>Successful</v>
      </c>
      <c r="F581" s="109">
        <f>IF(E581=$E$6,('Detailed Report'!Y577),IF(E581=$E$5,(0),0))</f>
        <v>666.47</v>
      </c>
      <c r="G581" s="106">
        <f>IF(E581=$E$6,('Detailed Report'!AQ577),IF(E581=$E$5,('Detailed Report'!AW577),0))</f>
        <v>584.62280999999996</v>
      </c>
      <c r="H581" s="106">
        <f>'Detailed Report'!AS577</f>
        <v>146.1557</v>
      </c>
      <c r="I581" s="106">
        <f>'Detailed Report'!AT577</f>
        <v>20.461798000000002</v>
      </c>
      <c r="J581" s="106">
        <f>'Detailed Report'!AO577</f>
        <v>11.663225000000001</v>
      </c>
      <c r="K581" s="106">
        <f>'Detailed Report'!AP577</f>
        <v>1.6328514999999999</v>
      </c>
      <c r="L581" s="106">
        <f>'Detailed Report'!AU577/1.14</f>
        <v>28.938596491228076</v>
      </c>
      <c r="M581" s="106">
        <f>'Detailed Report'!AU577-L581</f>
        <v>4.0514035087719265</v>
      </c>
      <c r="N581" s="110">
        <f>'Detailed Report'!AW577</f>
        <v>453.56599999999997</v>
      </c>
      <c r="O581" s="111">
        <f t="shared" si="54"/>
        <v>131.05680999999998</v>
      </c>
      <c r="P581" s="110">
        <f>'Detailed Report'!AM577</f>
        <v>0</v>
      </c>
      <c r="Q581" s="110">
        <f>'Detailed Report'!AN577</f>
        <v>0</v>
      </c>
      <c r="R581" s="110">
        <f>'Detailed Report'!AU577/1.14</f>
        <v>28.938596491228076</v>
      </c>
      <c r="S581" s="110">
        <f>'Detailed Report'!AU577-'........... - Otlob'!R581</f>
        <v>4.0514035087719265</v>
      </c>
    </row>
    <row r="582" spans="1:19" ht="14.45" customHeight="1" x14ac:dyDescent="0.25">
      <c r="A582" s="105">
        <f>+IF(B582="","",SUBTOTAL(3,B$8:B582))</f>
        <v>575</v>
      </c>
      <c r="B582" s="106" t="str">
        <f>'Detailed Report'!O578</f>
        <v>Fuddruckers - Concord Plaza Mall</v>
      </c>
      <c r="C582" s="107">
        <f>TRUNC('Detailed Report'!Q578,0)</f>
        <v>46042</v>
      </c>
      <c r="D582" s="108">
        <f>'Detailed Report'!P578</f>
        <v>3409790595</v>
      </c>
      <c r="E582" s="106" t="str">
        <f>'Detailed Report'!S578</f>
        <v>Successful</v>
      </c>
      <c r="F582" s="109">
        <f>IF(E582=$E$6,('Detailed Report'!Y578),IF(E582=$E$5,(0),0))</f>
        <v>363.99</v>
      </c>
      <c r="G582" s="106">
        <f>IF(E582=$E$6,('Detailed Report'!AQ578),IF(E582=$E$5,('Detailed Report'!AW578),0))</f>
        <v>319.28946999999999</v>
      </c>
      <c r="H582" s="106">
        <f>'Detailed Report'!AS578</f>
        <v>79.822370000000006</v>
      </c>
      <c r="I582" s="106">
        <f>'Detailed Report'!AT578</f>
        <v>11.175131800000001</v>
      </c>
      <c r="J582" s="106">
        <f>'Detailed Report'!AO578</f>
        <v>6.3698249999999996</v>
      </c>
      <c r="K582" s="106">
        <f>'Detailed Report'!AP578</f>
        <v>0.89177550000000005</v>
      </c>
      <c r="L582" s="106">
        <f>'Detailed Report'!AU578/1.14</f>
        <v>0</v>
      </c>
      <c r="M582" s="106">
        <f>'Detailed Report'!AU578-L582</f>
        <v>0</v>
      </c>
      <c r="N582" s="110">
        <f>'Detailed Report'!AW578</f>
        <v>265.73099999999999</v>
      </c>
      <c r="O582" s="111">
        <f t="shared" si="54"/>
        <v>53.55847</v>
      </c>
      <c r="P582" s="110">
        <f>'Detailed Report'!AM578</f>
        <v>0</v>
      </c>
      <c r="Q582" s="110">
        <f>'Detailed Report'!AN578</f>
        <v>0</v>
      </c>
      <c r="R582" s="110">
        <f>'Detailed Report'!AU578/1.14</f>
        <v>0</v>
      </c>
      <c r="S582" s="110">
        <f>'Detailed Report'!AU578-'........... - Otlob'!R582</f>
        <v>0</v>
      </c>
    </row>
    <row r="583" spans="1:19" ht="14.45" customHeight="1" x14ac:dyDescent="0.25">
      <c r="A583" s="105">
        <f>+IF(B583="","",SUBTOTAL(3,B$8:B583))</f>
        <v>576</v>
      </c>
      <c r="B583" s="106" t="str">
        <f>'Detailed Report'!O579</f>
        <v>Fuddruckers - New Maadi</v>
      </c>
      <c r="C583" s="107">
        <f>TRUNC('Detailed Report'!Q579,0)</f>
        <v>46042</v>
      </c>
      <c r="D583" s="108">
        <f>'Detailed Report'!P579</f>
        <v>3409791572</v>
      </c>
      <c r="E583" s="106" t="str">
        <f>'Detailed Report'!S579</f>
        <v>Successful</v>
      </c>
      <c r="F583" s="109">
        <f>IF(E583=$E$6,('Detailed Report'!Y579),IF(E583=$E$5,(0),0))</f>
        <v>769.99</v>
      </c>
      <c r="G583" s="106">
        <f>IF(E583=$E$6,('Detailed Report'!AQ579),IF(E583=$E$5,('Detailed Report'!AW579),0))</f>
        <v>675.42981999999995</v>
      </c>
      <c r="H583" s="106">
        <f>'Detailed Report'!AS579</f>
        <v>168.85746</v>
      </c>
      <c r="I583" s="106">
        <f>'Detailed Report'!AT579</f>
        <v>23.640044400000001</v>
      </c>
      <c r="J583" s="106">
        <f>'Detailed Report'!AO579</f>
        <v>13.474824999999999</v>
      </c>
      <c r="K583" s="106">
        <f>'Detailed Report'!AP579</f>
        <v>1.8864755</v>
      </c>
      <c r="L583" s="106">
        <f>'Detailed Report'!AU579/1.14</f>
        <v>0</v>
      </c>
      <c r="M583" s="106">
        <f>'Detailed Report'!AU579-L583</f>
        <v>0</v>
      </c>
      <c r="N583" s="110">
        <f>'Detailed Report'!AW579</f>
        <v>562.13099999999997</v>
      </c>
      <c r="O583" s="111">
        <f t="shared" si="54"/>
        <v>113.29881999999998</v>
      </c>
      <c r="P583" s="110">
        <f>'Detailed Report'!AM579</f>
        <v>0</v>
      </c>
      <c r="Q583" s="110">
        <f>'Detailed Report'!AN579</f>
        <v>0</v>
      </c>
      <c r="R583" s="110">
        <f>'Detailed Report'!AU579/1.14</f>
        <v>0</v>
      </c>
      <c r="S583" s="110">
        <f>'Detailed Report'!AU579-'........... - Otlob'!R583</f>
        <v>0</v>
      </c>
    </row>
    <row r="584" spans="1:19" ht="14.45" customHeight="1" x14ac:dyDescent="0.25">
      <c r="A584" s="105">
        <f>+IF(B584="","",SUBTOTAL(3,B$8:B584))</f>
        <v>577</v>
      </c>
      <c r="B584" s="106" t="str">
        <f>'Detailed Report'!O580</f>
        <v>Fuddruckers - New Maadi</v>
      </c>
      <c r="C584" s="107">
        <f>TRUNC('Detailed Report'!Q580,0)</f>
        <v>46042</v>
      </c>
      <c r="D584" s="108">
        <f>'Detailed Report'!P580</f>
        <v>3409894463</v>
      </c>
      <c r="E584" s="106" t="str">
        <f>'Detailed Report'!S580</f>
        <v>Successful</v>
      </c>
      <c r="F584" s="109">
        <f>IF(E584=$E$6,('Detailed Report'!Y580),IF(E584=$E$5,(0),0))</f>
        <v>249.99</v>
      </c>
      <c r="G584" s="106">
        <f>IF(E584=$E$6,('Detailed Report'!AQ580),IF(E584=$E$5,('Detailed Report'!AW580),0))</f>
        <v>219.28946999999999</v>
      </c>
      <c r="H584" s="106">
        <f>'Detailed Report'!AS580</f>
        <v>54.822369999999999</v>
      </c>
      <c r="I584" s="106">
        <f>'Detailed Report'!AT580</f>
        <v>7.6751317999999999</v>
      </c>
      <c r="J584" s="106">
        <f>'Detailed Report'!AO580</f>
        <v>4.3748250000000004</v>
      </c>
      <c r="K584" s="106">
        <f>'Detailed Report'!AP580</f>
        <v>0.61247549999999995</v>
      </c>
      <c r="L584" s="106">
        <f>'Detailed Report'!AU580/1.14</f>
        <v>26.307017543859651</v>
      </c>
      <c r="M584" s="106">
        <f>'Detailed Report'!AU580-L584</f>
        <v>3.6829824561403477</v>
      </c>
      <c r="N584" s="110">
        <f>'Detailed Report'!AW580</f>
        <v>152.51499999999999</v>
      </c>
      <c r="O584" s="111">
        <f t="shared" si="54"/>
        <v>66.774470000000008</v>
      </c>
      <c r="P584" s="110">
        <f>'Detailed Report'!AM580</f>
        <v>0</v>
      </c>
      <c r="Q584" s="110">
        <f>'Detailed Report'!AN580</f>
        <v>0</v>
      </c>
      <c r="R584" s="110">
        <f>'Detailed Report'!AU580/1.14</f>
        <v>26.307017543859651</v>
      </c>
      <c r="S584" s="110">
        <f>'Detailed Report'!AU580-'........... - Otlob'!R584</f>
        <v>3.6829824561403477</v>
      </c>
    </row>
    <row r="585" spans="1:19" ht="14.45" customHeight="1" x14ac:dyDescent="0.25">
      <c r="A585" s="105">
        <f>+IF(B585="","",SUBTOTAL(3,B$8:B585))</f>
        <v>578</v>
      </c>
      <c r="B585" s="106" t="str">
        <f>'Detailed Report'!O581</f>
        <v>Fuddruckers - Concord Plaza Mall</v>
      </c>
      <c r="C585" s="107">
        <f>TRUNC('Detailed Report'!Q581,0)</f>
        <v>46042</v>
      </c>
      <c r="D585" s="108">
        <f>'Detailed Report'!P581</f>
        <v>3409938024</v>
      </c>
      <c r="E585" s="106" t="str">
        <f>'Detailed Report'!S581</f>
        <v>Successful</v>
      </c>
      <c r="F585" s="109">
        <f>IF(E585=$E$6,('Detailed Report'!Y581),IF(E585=$E$5,(0),0))</f>
        <v>353.99</v>
      </c>
      <c r="G585" s="106">
        <f>IF(E585=$E$6,('Detailed Report'!AQ581),IF(E585=$E$5,('Detailed Report'!AW581),0))</f>
        <v>310.51754</v>
      </c>
      <c r="H585" s="106">
        <f>'Detailed Report'!AS581</f>
        <v>77.629390000000001</v>
      </c>
      <c r="I585" s="106">
        <f>'Detailed Report'!AT581</f>
        <v>10.8681146</v>
      </c>
      <c r="J585" s="106">
        <f>'Detailed Report'!AO581</f>
        <v>6.1948249999999998</v>
      </c>
      <c r="K585" s="106">
        <f>'Detailed Report'!AP581</f>
        <v>0.86727549999999998</v>
      </c>
      <c r="L585" s="106">
        <f>'Detailed Report'!AU581/1.14</f>
        <v>28.061403508771932</v>
      </c>
      <c r="M585" s="106">
        <f>'Detailed Report'!AU581-L585</f>
        <v>3.9285964912280669</v>
      </c>
      <c r="N585" s="110">
        <f>'Detailed Report'!AW581</f>
        <v>226.44</v>
      </c>
      <c r="O585" s="111">
        <f t="shared" ref="O585:O648" si="55">G585-N585</f>
        <v>84.077539999999999</v>
      </c>
      <c r="P585" s="110">
        <f>'Detailed Report'!AM581</f>
        <v>0</v>
      </c>
      <c r="Q585" s="110">
        <f>'Detailed Report'!AN581</f>
        <v>0</v>
      </c>
      <c r="R585" s="110">
        <f>'Detailed Report'!AU581/1.14</f>
        <v>28.061403508771932</v>
      </c>
      <c r="S585" s="110">
        <f>'Detailed Report'!AU581-'........... - Otlob'!R585</f>
        <v>3.9285964912280669</v>
      </c>
    </row>
    <row r="586" spans="1:19" ht="14.45" customHeight="1" x14ac:dyDescent="0.25">
      <c r="A586" s="105">
        <f>+IF(B586="","",SUBTOTAL(3,B$8:B586))</f>
        <v>579</v>
      </c>
      <c r="B586" s="106" t="str">
        <f>'Detailed Report'!O582</f>
        <v>Fuddruckers - New Maadi</v>
      </c>
      <c r="C586" s="107">
        <f>TRUNC('Detailed Report'!Q582,0)</f>
        <v>46042</v>
      </c>
      <c r="D586" s="108">
        <f>'Detailed Report'!P582</f>
        <v>3410033487</v>
      </c>
      <c r="E586" s="106" t="str">
        <f>'Detailed Report'!S582</f>
        <v>Successful</v>
      </c>
      <c r="F586" s="109">
        <f>IF(E586=$E$6,('Detailed Report'!Y582),IF(E586=$E$5,(0),0))</f>
        <v>253.99</v>
      </c>
      <c r="G586" s="106">
        <f>IF(E586=$E$6,('Detailed Report'!AQ582),IF(E586=$E$5,('Detailed Report'!AW582),0))</f>
        <v>222.79825</v>
      </c>
      <c r="H586" s="106">
        <f>'Detailed Report'!AS582</f>
        <v>55.699559999999998</v>
      </c>
      <c r="I586" s="106">
        <f>'Detailed Report'!AT582</f>
        <v>7.7979383999999996</v>
      </c>
      <c r="J586" s="106">
        <f>'Detailed Report'!AO582</f>
        <v>4.4448249999999998</v>
      </c>
      <c r="K586" s="106">
        <f>'Detailed Report'!AP582</f>
        <v>0.62227549999999998</v>
      </c>
      <c r="L586" s="106">
        <f>'Detailed Report'!AU582/1.14</f>
        <v>23.67543859649123</v>
      </c>
      <c r="M586" s="106">
        <f>'Detailed Report'!AU582-L586</f>
        <v>3.3145614035087689</v>
      </c>
      <c r="N586" s="110">
        <f>'Detailed Report'!AW582</f>
        <v>158.435</v>
      </c>
      <c r="O586" s="111">
        <f t="shared" si="55"/>
        <v>64.363249999999994</v>
      </c>
      <c r="P586" s="110">
        <f>'Detailed Report'!AM582</f>
        <v>0</v>
      </c>
      <c r="Q586" s="110">
        <f>'Detailed Report'!AN582</f>
        <v>0</v>
      </c>
      <c r="R586" s="110">
        <f>'Detailed Report'!AU582/1.14</f>
        <v>23.67543859649123</v>
      </c>
      <c r="S586" s="110">
        <f>'Detailed Report'!AU582-'........... - Otlob'!R586</f>
        <v>3.3145614035087689</v>
      </c>
    </row>
    <row r="587" spans="1:19" ht="14.45" customHeight="1" x14ac:dyDescent="0.25">
      <c r="A587" s="105">
        <f>+IF(B587="","",SUBTOTAL(3,B$8:B587))</f>
        <v>580</v>
      </c>
      <c r="B587" s="106" t="str">
        <f>'Detailed Report'!O583</f>
        <v>Fuddruckers - New Maadi</v>
      </c>
      <c r="C587" s="107">
        <f>TRUNC('Detailed Report'!Q583,0)</f>
        <v>46042</v>
      </c>
      <c r="D587" s="108">
        <f>'Detailed Report'!P583</f>
        <v>3410046042</v>
      </c>
      <c r="E587" s="106" t="str">
        <f>'Detailed Report'!S583</f>
        <v>Successful</v>
      </c>
      <c r="F587" s="109">
        <f>IF(E587=$E$6,('Detailed Report'!Y583),IF(E587=$E$5,(0),0))</f>
        <v>989.97</v>
      </c>
      <c r="G587" s="106">
        <f>IF(E587=$E$6,('Detailed Report'!AQ583),IF(E587=$E$5,('Detailed Report'!AW583),0))</f>
        <v>868.39473999999996</v>
      </c>
      <c r="H587" s="106">
        <f>'Detailed Report'!AS583</f>
        <v>217.09869</v>
      </c>
      <c r="I587" s="106">
        <f>'Detailed Report'!AT583</f>
        <v>30.393816600000001</v>
      </c>
      <c r="J587" s="106">
        <f>'Detailed Report'!AO583</f>
        <v>17.324475</v>
      </c>
      <c r="K587" s="106">
        <f>'Detailed Report'!AP583</f>
        <v>2.4254264999999999</v>
      </c>
      <c r="L587" s="106">
        <f>'Detailed Report'!AU583/1.14</f>
        <v>26.307017543859651</v>
      </c>
      <c r="M587" s="106">
        <f>'Detailed Report'!AU583-L587</f>
        <v>3.6829824561403477</v>
      </c>
      <c r="N587" s="110">
        <f>'Detailed Report'!AW583</f>
        <v>692.73800000000006</v>
      </c>
      <c r="O587" s="111">
        <f t="shared" si="55"/>
        <v>175.6567399999999</v>
      </c>
      <c r="P587" s="110">
        <f>'Detailed Report'!AM583</f>
        <v>0</v>
      </c>
      <c r="Q587" s="110">
        <f>'Detailed Report'!AN583</f>
        <v>0</v>
      </c>
      <c r="R587" s="110">
        <f>'Detailed Report'!AU583/1.14</f>
        <v>26.307017543859651</v>
      </c>
      <c r="S587" s="110">
        <f>'Detailed Report'!AU583-'........... - Otlob'!R587</f>
        <v>3.6829824561403477</v>
      </c>
    </row>
    <row r="588" spans="1:19" ht="14.45" customHeight="1" x14ac:dyDescent="0.25">
      <c r="A588" s="105">
        <f>+IF(B588="","",SUBTOTAL(3,B$8:B588))</f>
        <v>581</v>
      </c>
      <c r="B588" s="106" t="str">
        <f>'Detailed Report'!O584</f>
        <v>Fuddruckers - Concord Plaza Mall</v>
      </c>
      <c r="C588" s="107">
        <f>TRUNC('Detailed Report'!Q584,0)</f>
        <v>46042</v>
      </c>
      <c r="D588" s="108">
        <f>'Detailed Report'!P584</f>
        <v>3410049862</v>
      </c>
      <c r="E588" s="106" t="str">
        <f>'Detailed Report'!S584</f>
        <v>Successful</v>
      </c>
      <c r="F588" s="109">
        <f>IF(E588=$E$6,('Detailed Report'!Y584),IF(E588=$E$5,(0),0))</f>
        <v>453.99</v>
      </c>
      <c r="G588" s="106">
        <f>IF(E588=$E$6,('Detailed Report'!AQ584),IF(E588=$E$5,('Detailed Report'!AW584),0))</f>
        <v>398.23683999999997</v>
      </c>
      <c r="H588" s="106">
        <f>'Detailed Report'!AS584</f>
        <v>99.559209999999993</v>
      </c>
      <c r="I588" s="106">
        <f>'Detailed Report'!AT584</f>
        <v>13.9382894</v>
      </c>
      <c r="J588" s="106">
        <f>'Detailed Report'!AO584</f>
        <v>0</v>
      </c>
      <c r="K588" s="106">
        <f>'Detailed Report'!AP584</f>
        <v>0</v>
      </c>
      <c r="L588" s="106">
        <f>'Detailed Report'!AU584/1.14</f>
        <v>0</v>
      </c>
      <c r="M588" s="106">
        <f>'Detailed Report'!AU584-L588</f>
        <v>0</v>
      </c>
      <c r="N588" s="110">
        <f>'Detailed Report'!AW584</f>
        <v>340.49299999999999</v>
      </c>
      <c r="O588" s="111">
        <f t="shared" si="55"/>
        <v>57.743839999999977</v>
      </c>
      <c r="P588" s="110">
        <f>'Detailed Report'!AM584</f>
        <v>0</v>
      </c>
      <c r="Q588" s="110">
        <f>'Detailed Report'!AN584</f>
        <v>0</v>
      </c>
      <c r="R588" s="110">
        <f>'Detailed Report'!AU584/1.14</f>
        <v>0</v>
      </c>
      <c r="S588" s="110">
        <f>'Detailed Report'!AU584-'........... - Otlob'!R588</f>
        <v>0</v>
      </c>
    </row>
    <row r="589" spans="1:19" ht="14.45" customHeight="1" x14ac:dyDescent="0.25">
      <c r="A589" s="105">
        <f>+IF(B589="","",SUBTOTAL(3,B$8:B589))</f>
        <v>582</v>
      </c>
      <c r="B589" s="106" t="str">
        <f>'Detailed Report'!O585</f>
        <v>Fuddruckers - New Maadi</v>
      </c>
      <c r="C589" s="107">
        <f>TRUNC('Detailed Report'!Q585,0)</f>
        <v>46042</v>
      </c>
      <c r="D589" s="108">
        <f>'Detailed Report'!P585</f>
        <v>3410061569</v>
      </c>
      <c r="E589" s="106" t="str">
        <f>'Detailed Report'!S585</f>
        <v>Successful</v>
      </c>
      <c r="F589" s="109">
        <f>IF(E589=$E$6,('Detailed Report'!Y585),IF(E589=$E$5,(0),0))</f>
        <v>301.82</v>
      </c>
      <c r="G589" s="106">
        <f>IF(E589=$E$6,('Detailed Report'!AQ585),IF(E589=$E$5,('Detailed Report'!AW585),0))</f>
        <v>264.75439</v>
      </c>
      <c r="H589" s="106">
        <f>'Detailed Report'!AS585</f>
        <v>66.188599999999994</v>
      </c>
      <c r="I589" s="106">
        <f>'Detailed Report'!AT585</f>
        <v>9.2664039999999996</v>
      </c>
      <c r="J589" s="106">
        <f>'Detailed Report'!AO585</f>
        <v>5.2818500000000004</v>
      </c>
      <c r="K589" s="106">
        <f>'Detailed Report'!AP585</f>
        <v>0.73945899999999998</v>
      </c>
      <c r="L589" s="106">
        <f>'Detailed Report'!AU585/1.14</f>
        <v>23.67543859649123</v>
      </c>
      <c r="M589" s="106">
        <f>'Detailed Report'!AU585-L589</f>
        <v>3.3145614035087689</v>
      </c>
      <c r="N589" s="110">
        <f>'Detailed Report'!AW585</f>
        <v>193.35400000000001</v>
      </c>
      <c r="O589" s="111">
        <f t="shared" si="55"/>
        <v>71.400389999999987</v>
      </c>
      <c r="P589" s="110">
        <f>'Detailed Report'!AM585</f>
        <v>0</v>
      </c>
      <c r="Q589" s="110">
        <f>'Detailed Report'!AN585</f>
        <v>0</v>
      </c>
      <c r="R589" s="110">
        <f>'Detailed Report'!AU585/1.14</f>
        <v>23.67543859649123</v>
      </c>
      <c r="S589" s="110">
        <f>'Detailed Report'!AU585-'........... - Otlob'!R589</f>
        <v>3.3145614035087689</v>
      </c>
    </row>
    <row r="590" spans="1:19" ht="14.45" customHeight="1" x14ac:dyDescent="0.25">
      <c r="A590" s="105">
        <f>+IF(B590="","",SUBTOTAL(3,B$8:B590))</f>
        <v>583</v>
      </c>
      <c r="B590" s="106" t="str">
        <f>'Detailed Report'!O586</f>
        <v>Fuddruckers - New Maadi</v>
      </c>
      <c r="C590" s="107">
        <f>TRUNC('Detailed Report'!Q586,0)</f>
        <v>46042</v>
      </c>
      <c r="D590" s="108">
        <f>'Detailed Report'!P586</f>
        <v>3410076371</v>
      </c>
      <c r="E590" s="106" t="str">
        <f>'Detailed Report'!S586</f>
        <v>Successful</v>
      </c>
      <c r="F590" s="109">
        <f>IF(E590=$E$6,('Detailed Report'!Y586),IF(E590=$E$5,(0),0))</f>
        <v>319.99</v>
      </c>
      <c r="G590" s="106">
        <f>IF(E590=$E$6,('Detailed Report'!AQ586),IF(E590=$E$5,('Detailed Report'!AW586),0))</f>
        <v>280.69297999999998</v>
      </c>
      <c r="H590" s="106">
        <f>'Detailed Report'!AS586</f>
        <v>70.173249999999996</v>
      </c>
      <c r="I590" s="106">
        <f>'Detailed Report'!AT586</f>
        <v>9.8242550000000008</v>
      </c>
      <c r="J590" s="106">
        <f>'Detailed Report'!AO586</f>
        <v>5.5998250000000001</v>
      </c>
      <c r="K590" s="106">
        <f>'Detailed Report'!AP586</f>
        <v>0.78397550000000005</v>
      </c>
      <c r="L590" s="106">
        <f>'Detailed Report'!AU586/1.14</f>
        <v>0</v>
      </c>
      <c r="M590" s="106">
        <f>'Detailed Report'!AU586-L590</f>
        <v>0</v>
      </c>
      <c r="N590" s="110">
        <f>'Detailed Report'!AW586</f>
        <v>233.60900000000001</v>
      </c>
      <c r="O590" s="111">
        <f t="shared" si="55"/>
        <v>47.083979999999968</v>
      </c>
      <c r="P590" s="110">
        <f>'Detailed Report'!AM586</f>
        <v>0</v>
      </c>
      <c r="Q590" s="110">
        <f>'Detailed Report'!AN586</f>
        <v>0</v>
      </c>
      <c r="R590" s="110">
        <f>'Detailed Report'!AU586/1.14</f>
        <v>0</v>
      </c>
      <c r="S590" s="110">
        <f>'Detailed Report'!AU586-'........... - Otlob'!R590</f>
        <v>0</v>
      </c>
    </row>
    <row r="591" spans="1:19" ht="14.45" customHeight="1" x14ac:dyDescent="0.25">
      <c r="A591" s="105">
        <f>+IF(B591="","",SUBTOTAL(3,B$8:B591))</f>
        <v>584</v>
      </c>
      <c r="B591" s="106" t="str">
        <f>'Detailed Report'!O587</f>
        <v>Fuddruckers - Concord Plaza Mall</v>
      </c>
      <c r="C591" s="107">
        <f>TRUNC('Detailed Report'!Q587,0)</f>
        <v>46042</v>
      </c>
      <c r="D591" s="108">
        <f>'Detailed Report'!P587</f>
        <v>3410184499</v>
      </c>
      <c r="E591" s="106" t="str">
        <f>'Detailed Report'!S587</f>
        <v>Successful</v>
      </c>
      <c r="F591" s="109">
        <f>IF(E591=$E$6,('Detailed Report'!Y587),IF(E591=$E$5,(0),0))</f>
        <v>683.98</v>
      </c>
      <c r="G591" s="106">
        <f>IF(E591=$E$6,('Detailed Report'!AQ587),IF(E591=$E$5,('Detailed Report'!AW587),0))</f>
        <v>599.98245999999995</v>
      </c>
      <c r="H591" s="106">
        <f>'Detailed Report'!AS587</f>
        <v>149.99562</v>
      </c>
      <c r="I591" s="106">
        <f>'Detailed Report'!AT587</f>
        <v>20.9993868</v>
      </c>
      <c r="J591" s="106">
        <f>'Detailed Report'!AO587</f>
        <v>0</v>
      </c>
      <c r="K591" s="106">
        <f>'Detailed Report'!AP587</f>
        <v>0</v>
      </c>
      <c r="L591" s="106">
        <f>'Detailed Report'!AU587/1.14</f>
        <v>28.061403508771932</v>
      </c>
      <c r="M591" s="106">
        <f>'Detailed Report'!AU587-L591</f>
        <v>3.9285964912280669</v>
      </c>
      <c r="N591" s="110">
        <f>'Detailed Report'!AW587</f>
        <v>480.995</v>
      </c>
      <c r="O591" s="111">
        <f t="shared" si="55"/>
        <v>118.98745999999994</v>
      </c>
      <c r="P591" s="110">
        <f>'Detailed Report'!AM587</f>
        <v>0</v>
      </c>
      <c r="Q591" s="110">
        <f>'Detailed Report'!AN587</f>
        <v>0</v>
      </c>
      <c r="R591" s="110">
        <f>'Detailed Report'!AU587/1.14</f>
        <v>28.061403508771932</v>
      </c>
      <c r="S591" s="110">
        <f>'Detailed Report'!AU587-'........... - Otlob'!R591</f>
        <v>3.9285964912280669</v>
      </c>
    </row>
    <row r="592" spans="1:19" ht="14.45" customHeight="1" x14ac:dyDescent="0.25">
      <c r="A592" s="105">
        <f>+IF(B592="","",SUBTOTAL(3,B$8:B592))</f>
        <v>585</v>
      </c>
      <c r="B592" s="106" t="str">
        <f>'Detailed Report'!O588</f>
        <v>Fuddruckers - New Maadi</v>
      </c>
      <c r="C592" s="107">
        <f>TRUNC('Detailed Report'!Q588,0)</f>
        <v>46042</v>
      </c>
      <c r="D592" s="108">
        <f>'Detailed Report'!P588</f>
        <v>3410204972</v>
      </c>
      <c r="E592" s="106" t="str">
        <f>'Detailed Report'!S588</f>
        <v>Successful</v>
      </c>
      <c r="F592" s="109">
        <f>IF(E592=$E$6,('Detailed Report'!Y588),IF(E592=$E$5,(0),0))</f>
        <v>950.96</v>
      </c>
      <c r="G592" s="106">
        <f>IF(E592=$E$6,('Detailed Report'!AQ588),IF(E592=$E$5,('Detailed Report'!AW588),0))</f>
        <v>876.16666999999995</v>
      </c>
      <c r="H592" s="106">
        <f>'Detailed Report'!AS588</f>
        <v>219.04167000000001</v>
      </c>
      <c r="I592" s="106">
        <f>'Detailed Report'!AT588</f>
        <v>30.665833800000001</v>
      </c>
      <c r="J592" s="106">
        <f>'Detailed Report'!AO588</f>
        <v>16.6418</v>
      </c>
      <c r="K592" s="106">
        <f>'Detailed Report'!AP588</f>
        <v>2.3298519999999998</v>
      </c>
      <c r="L592" s="106">
        <f>'Detailed Report'!AU588/1.14</f>
        <v>0</v>
      </c>
      <c r="M592" s="106">
        <f>'Detailed Report'!AU588-L592</f>
        <v>0</v>
      </c>
      <c r="N592" s="110">
        <f>'Detailed Report'!AW588</f>
        <v>682.28099999999995</v>
      </c>
      <c r="O592" s="111">
        <f t="shared" si="55"/>
        <v>193.88567</v>
      </c>
      <c r="P592" s="110">
        <f>'Detailed Report'!AM588</f>
        <v>0</v>
      </c>
      <c r="Q592" s="110">
        <f>'Detailed Report'!AN588</f>
        <v>0</v>
      </c>
      <c r="R592" s="110">
        <f>'Detailed Report'!AU588/1.14</f>
        <v>0</v>
      </c>
      <c r="S592" s="110">
        <f>'Detailed Report'!AU588-'........... - Otlob'!R592</f>
        <v>0</v>
      </c>
    </row>
    <row r="593" spans="1:19" ht="14.45" customHeight="1" x14ac:dyDescent="0.25">
      <c r="A593" s="105">
        <f>+IF(B593="","",SUBTOTAL(3,B$8:B593))</f>
        <v>586</v>
      </c>
      <c r="B593" s="106" t="str">
        <f>'Detailed Report'!O589</f>
        <v>Fuddruckers - Concord Plaza Mall</v>
      </c>
      <c r="C593" s="107">
        <f>TRUNC('Detailed Report'!Q589,0)</f>
        <v>46042</v>
      </c>
      <c r="D593" s="108">
        <f>'Detailed Report'!P589</f>
        <v>3410212085</v>
      </c>
      <c r="E593" s="106" t="str">
        <f>'Detailed Report'!S589</f>
        <v>Successful</v>
      </c>
      <c r="F593" s="109">
        <f>IF(E593=$E$6,('Detailed Report'!Y589),IF(E593=$E$5,(0),0))</f>
        <v>827.26</v>
      </c>
      <c r="G593" s="106">
        <f>IF(E593=$E$6,('Detailed Report'!AQ589),IF(E593=$E$5,('Detailed Report'!AW589),0))</f>
        <v>725.66666999999995</v>
      </c>
      <c r="H593" s="106">
        <f>'Detailed Report'!AS589</f>
        <v>181.41667000000001</v>
      </c>
      <c r="I593" s="106">
        <f>'Detailed Report'!AT589</f>
        <v>25.3983338</v>
      </c>
      <c r="J593" s="106">
        <f>'Detailed Report'!AO589</f>
        <v>14.47705</v>
      </c>
      <c r="K593" s="106">
        <f>'Detailed Report'!AP589</f>
        <v>2.0267870000000001</v>
      </c>
      <c r="L593" s="106">
        <f>'Detailed Report'!AU589/1.14</f>
        <v>0</v>
      </c>
      <c r="M593" s="106">
        <f>'Detailed Report'!AU589-L593</f>
        <v>0</v>
      </c>
      <c r="N593" s="110">
        <f>'Detailed Report'!AW589</f>
        <v>603.94100000000003</v>
      </c>
      <c r="O593" s="111">
        <f t="shared" si="55"/>
        <v>121.72566999999992</v>
      </c>
      <c r="P593" s="110">
        <f>'Detailed Report'!AM589</f>
        <v>0</v>
      </c>
      <c r="Q593" s="110">
        <f>'Detailed Report'!AN589</f>
        <v>0</v>
      </c>
      <c r="R593" s="110">
        <f>'Detailed Report'!AU589/1.14</f>
        <v>0</v>
      </c>
      <c r="S593" s="110">
        <f>'Detailed Report'!AU589-'........... - Otlob'!R593</f>
        <v>0</v>
      </c>
    </row>
    <row r="594" spans="1:19" ht="14.45" customHeight="1" x14ac:dyDescent="0.25">
      <c r="A594" s="105">
        <f>+IF(B594="","",SUBTOTAL(3,B$8:B594))</f>
        <v>587</v>
      </c>
      <c r="B594" s="106" t="str">
        <f>'Detailed Report'!O590</f>
        <v>Fuddruckers - City Stars</v>
      </c>
      <c r="C594" s="107">
        <f>TRUNC('Detailed Report'!Q590,0)</f>
        <v>46042</v>
      </c>
      <c r="D594" s="108">
        <f>'Detailed Report'!P590</f>
        <v>3410217346</v>
      </c>
      <c r="E594" s="106" t="str">
        <f>'Detailed Report'!S590</f>
        <v>Successful</v>
      </c>
      <c r="F594" s="109">
        <f>IF(E594=$E$6,('Detailed Report'!Y590),IF(E594=$E$5,(0),0))</f>
        <v>209.99</v>
      </c>
      <c r="G594" s="106">
        <f>IF(E594=$E$6,('Detailed Report'!AQ590),IF(E594=$E$5,('Detailed Report'!AW590),0))</f>
        <v>184.20175</v>
      </c>
      <c r="H594" s="106">
        <f>'Detailed Report'!AS590</f>
        <v>46.050440000000002</v>
      </c>
      <c r="I594" s="106">
        <f>'Detailed Report'!AT590</f>
        <v>6.4470615999999996</v>
      </c>
      <c r="J594" s="106">
        <f>'Detailed Report'!AO590</f>
        <v>0</v>
      </c>
      <c r="K594" s="106">
        <f>'Detailed Report'!AP590</f>
        <v>0</v>
      </c>
      <c r="L594" s="106">
        <f>'Detailed Report'!AU590/1.14</f>
        <v>0</v>
      </c>
      <c r="M594" s="106">
        <f>'Detailed Report'!AU590-L594</f>
        <v>0</v>
      </c>
      <c r="N594" s="110">
        <f>'Detailed Report'!AW590</f>
        <v>157.49199999999999</v>
      </c>
      <c r="O594" s="111">
        <f t="shared" si="55"/>
        <v>26.709750000000014</v>
      </c>
      <c r="P594" s="110">
        <f>'Detailed Report'!AM590</f>
        <v>0</v>
      </c>
      <c r="Q594" s="110">
        <f>'Detailed Report'!AN590</f>
        <v>0</v>
      </c>
      <c r="R594" s="110">
        <f>'Detailed Report'!AU590/1.14</f>
        <v>0</v>
      </c>
      <c r="S594" s="110">
        <f>'Detailed Report'!AU590-'........... - Otlob'!R594</f>
        <v>0</v>
      </c>
    </row>
    <row r="595" spans="1:19" ht="14.45" customHeight="1" x14ac:dyDescent="0.25">
      <c r="A595" s="105">
        <f>+IF(B595="","",SUBTOTAL(3,B$8:B595))</f>
        <v>588</v>
      </c>
      <c r="B595" s="106" t="str">
        <f>'Detailed Report'!O591</f>
        <v>Fuddruckers - New Maadi</v>
      </c>
      <c r="C595" s="107">
        <f>TRUNC('Detailed Report'!Q591,0)</f>
        <v>46042</v>
      </c>
      <c r="D595" s="108">
        <f>'Detailed Report'!P591</f>
        <v>3410258702</v>
      </c>
      <c r="E595" s="106" t="str">
        <f>'Detailed Report'!S591</f>
        <v>Successful</v>
      </c>
      <c r="F595" s="109">
        <f>IF(E595=$E$6,('Detailed Report'!Y591),IF(E595=$E$5,(0),0))</f>
        <v>511.98</v>
      </c>
      <c r="G595" s="106">
        <f>IF(E595=$E$6,('Detailed Report'!AQ591),IF(E595=$E$5,('Detailed Report'!AW591),0))</f>
        <v>449.10525999999999</v>
      </c>
      <c r="H595" s="106">
        <f>'Detailed Report'!AS591</f>
        <v>112.27632</v>
      </c>
      <c r="I595" s="106">
        <f>'Detailed Report'!AT591</f>
        <v>15.7186848</v>
      </c>
      <c r="J595" s="106">
        <f>'Detailed Report'!AO591</f>
        <v>8.9596499999999999</v>
      </c>
      <c r="K595" s="106">
        <f>'Detailed Report'!AP591</f>
        <v>1.254351</v>
      </c>
      <c r="L595" s="106">
        <f>'Detailed Report'!AU591/1.14</f>
        <v>23.67543859649123</v>
      </c>
      <c r="M595" s="106">
        <f>'Detailed Report'!AU591-L595</f>
        <v>3.3145614035087689</v>
      </c>
      <c r="N595" s="110">
        <f>'Detailed Report'!AW591</f>
        <v>346.78100000000001</v>
      </c>
      <c r="O595" s="111">
        <f t="shared" si="55"/>
        <v>102.32425999999998</v>
      </c>
      <c r="P595" s="110">
        <f>'Detailed Report'!AM591</f>
        <v>0</v>
      </c>
      <c r="Q595" s="110">
        <f>'Detailed Report'!AN591</f>
        <v>0</v>
      </c>
      <c r="R595" s="110">
        <f>'Detailed Report'!AU591/1.14</f>
        <v>23.67543859649123</v>
      </c>
      <c r="S595" s="110">
        <f>'Detailed Report'!AU591-'........... - Otlob'!R595</f>
        <v>3.3145614035087689</v>
      </c>
    </row>
    <row r="596" spans="1:19" ht="14.45" customHeight="1" x14ac:dyDescent="0.25">
      <c r="A596" s="105">
        <f>+IF(B596="","",SUBTOTAL(3,B$8:B596))</f>
        <v>589</v>
      </c>
      <c r="B596" s="106" t="str">
        <f>'Detailed Report'!O592</f>
        <v>Fuddruckers - Concord Plaza Mall</v>
      </c>
      <c r="C596" s="107">
        <f>TRUNC('Detailed Report'!Q592,0)</f>
        <v>46042</v>
      </c>
      <c r="D596" s="108">
        <f>'Detailed Report'!P592</f>
        <v>3410348124</v>
      </c>
      <c r="E596" s="106" t="str">
        <f>'Detailed Report'!S592</f>
        <v>Successful</v>
      </c>
      <c r="F596" s="109">
        <f>IF(E596=$E$6,('Detailed Report'!Y592),IF(E596=$E$5,(0),0))</f>
        <v>448.49</v>
      </c>
      <c r="G596" s="106">
        <f>IF(E596=$E$6,('Detailed Report'!AQ592),IF(E596=$E$5,('Detailed Report'!AW592),0))</f>
        <v>393.41228000000001</v>
      </c>
      <c r="H596" s="106">
        <f>'Detailed Report'!AS592</f>
        <v>98.353070000000002</v>
      </c>
      <c r="I596" s="106">
        <f>'Detailed Report'!AT592</f>
        <v>13.769429799999999</v>
      </c>
      <c r="J596" s="106">
        <f>'Detailed Report'!AO592</f>
        <v>0</v>
      </c>
      <c r="K596" s="106">
        <f>'Detailed Report'!AP592</f>
        <v>0</v>
      </c>
      <c r="L596" s="106">
        <f>'Detailed Report'!AU592/1.14</f>
        <v>0</v>
      </c>
      <c r="M596" s="106">
        <f>'Detailed Report'!AU592-L596</f>
        <v>0</v>
      </c>
      <c r="N596" s="110">
        <f>'Detailed Report'!AW592</f>
        <v>302.16800000000001</v>
      </c>
      <c r="O596" s="111">
        <f t="shared" si="55"/>
        <v>91.244280000000003</v>
      </c>
      <c r="P596" s="110">
        <f>'Detailed Report'!AM592</f>
        <v>30</v>
      </c>
      <c r="Q596" s="110">
        <f>'Detailed Report'!AN592</f>
        <v>4.2</v>
      </c>
      <c r="R596" s="110">
        <f>'Detailed Report'!AU592/1.14</f>
        <v>0</v>
      </c>
      <c r="S596" s="110">
        <f>'Detailed Report'!AU592-'........... - Otlob'!R596</f>
        <v>0</v>
      </c>
    </row>
    <row r="597" spans="1:19" ht="14.45" customHeight="1" x14ac:dyDescent="0.25">
      <c r="A597" s="105">
        <f>+IF(B597="","",SUBTOTAL(3,B$8:B597))</f>
        <v>590</v>
      </c>
      <c r="B597" s="106" t="str">
        <f>'Detailed Report'!O593</f>
        <v>Fuddruckers - Concord Plaza Mall</v>
      </c>
      <c r="C597" s="107">
        <f>TRUNC('Detailed Report'!Q593,0)</f>
        <v>46042</v>
      </c>
      <c r="D597" s="108">
        <f>'Detailed Report'!P593</f>
        <v>3410355363</v>
      </c>
      <c r="E597" s="106" t="str">
        <f>'Detailed Report'!S593</f>
        <v>Successful</v>
      </c>
      <c r="F597" s="109">
        <f>IF(E597=$E$6,('Detailed Report'!Y593),IF(E597=$E$5,(0),0))</f>
        <v>244.99</v>
      </c>
      <c r="G597" s="106">
        <f>IF(E597=$E$6,('Detailed Report'!AQ593),IF(E597=$E$5,('Detailed Report'!AW593),0))</f>
        <v>214.90351000000001</v>
      </c>
      <c r="H597" s="106">
        <f>'Detailed Report'!AS593</f>
        <v>53.725879999999997</v>
      </c>
      <c r="I597" s="106">
        <f>'Detailed Report'!AT593</f>
        <v>7.5216231999999996</v>
      </c>
      <c r="J597" s="106">
        <f>'Detailed Report'!AO593</f>
        <v>0</v>
      </c>
      <c r="K597" s="106">
        <f>'Detailed Report'!AP593</f>
        <v>0</v>
      </c>
      <c r="L597" s="106">
        <f>'Detailed Report'!AU593/1.14</f>
        <v>0</v>
      </c>
      <c r="M597" s="106">
        <f>'Detailed Report'!AU593-L597</f>
        <v>0</v>
      </c>
      <c r="N597" s="110">
        <f>'Detailed Report'!AW593</f>
        <v>183.74199999999999</v>
      </c>
      <c r="O597" s="111">
        <f t="shared" si="55"/>
        <v>31.161510000000021</v>
      </c>
      <c r="P597" s="110">
        <f>'Detailed Report'!AM593</f>
        <v>0</v>
      </c>
      <c r="Q597" s="110">
        <f>'Detailed Report'!AN593</f>
        <v>0</v>
      </c>
      <c r="R597" s="110">
        <f>'Detailed Report'!AU593/1.14</f>
        <v>0</v>
      </c>
      <c r="S597" s="110">
        <f>'Detailed Report'!AU593-'........... - Otlob'!R597</f>
        <v>0</v>
      </c>
    </row>
    <row r="598" spans="1:19" ht="14.45" customHeight="1" x14ac:dyDescent="0.25">
      <c r="A598" s="105">
        <f>+IF(B598="","",SUBTOTAL(3,B$8:B598))</f>
        <v>591</v>
      </c>
      <c r="B598" s="106" t="str">
        <f>'Detailed Report'!O594</f>
        <v>Fuddruckers - Concord Plaza Mall</v>
      </c>
      <c r="C598" s="107">
        <f>TRUNC('Detailed Report'!Q594,0)</f>
        <v>46042</v>
      </c>
      <c r="D598" s="108">
        <f>'Detailed Report'!P594</f>
        <v>3410357428</v>
      </c>
      <c r="E598" s="106" t="str">
        <f>'Detailed Report'!S594</f>
        <v>Successful</v>
      </c>
      <c r="F598" s="109">
        <f>IF(E598=$E$6,('Detailed Report'!Y594),IF(E598=$E$5,(0),0))</f>
        <v>738.29</v>
      </c>
      <c r="G598" s="106">
        <f>IF(E598=$E$6,('Detailed Report'!AQ594),IF(E598=$E$5,('Detailed Report'!AW594),0))</f>
        <v>647.62280999999996</v>
      </c>
      <c r="H598" s="106">
        <f>'Detailed Report'!AS594</f>
        <v>161.9057</v>
      </c>
      <c r="I598" s="106">
        <f>'Detailed Report'!AT594</f>
        <v>22.666798</v>
      </c>
      <c r="J598" s="106">
        <f>'Detailed Report'!AO594</f>
        <v>12.920075000000001</v>
      </c>
      <c r="K598" s="106">
        <f>'Detailed Report'!AP594</f>
        <v>1.8088105000000001</v>
      </c>
      <c r="L598" s="106">
        <f>'Detailed Report'!AU594/1.14</f>
        <v>28.061403508771932</v>
      </c>
      <c r="M598" s="106">
        <f>'Detailed Report'!AU594-L598</f>
        <v>3.9285964912280669</v>
      </c>
      <c r="N598" s="110">
        <f>'Detailed Report'!AW594</f>
        <v>506.99900000000002</v>
      </c>
      <c r="O598" s="111">
        <f t="shared" si="55"/>
        <v>140.62380999999993</v>
      </c>
      <c r="P598" s="110">
        <f>'Detailed Report'!AM594</f>
        <v>0</v>
      </c>
      <c r="Q598" s="110">
        <f>'Detailed Report'!AN594</f>
        <v>0</v>
      </c>
      <c r="R598" s="110">
        <f>'Detailed Report'!AU594/1.14</f>
        <v>28.061403508771932</v>
      </c>
      <c r="S598" s="110">
        <f>'Detailed Report'!AU594-'........... - Otlob'!R598</f>
        <v>3.9285964912280669</v>
      </c>
    </row>
    <row r="599" spans="1:19" ht="14.45" customHeight="1" x14ac:dyDescent="0.25">
      <c r="A599" s="105">
        <f>+IF(B599="","",SUBTOTAL(3,B$8:B599))</f>
        <v>592</v>
      </c>
      <c r="B599" s="106" t="str">
        <f>'Detailed Report'!O595</f>
        <v>Fuddruckers - New Maadi</v>
      </c>
      <c r="C599" s="107">
        <f>TRUNC('Detailed Report'!Q595,0)</f>
        <v>46042</v>
      </c>
      <c r="D599" s="108">
        <f>'Detailed Report'!P595</f>
        <v>3410417089</v>
      </c>
      <c r="E599" s="106" t="str">
        <f>'Detailed Report'!S595</f>
        <v>Successful</v>
      </c>
      <c r="F599" s="109">
        <f>IF(E599=$E$6,('Detailed Report'!Y595),IF(E599=$E$5,(0),0))</f>
        <v>790.96</v>
      </c>
      <c r="G599" s="106">
        <f>IF(E599=$E$6,('Detailed Report'!AQ595),IF(E599=$E$5,('Detailed Report'!AW595),0))</f>
        <v>693.82456000000002</v>
      </c>
      <c r="H599" s="106">
        <f>'Detailed Report'!AS595</f>
        <v>173.45614</v>
      </c>
      <c r="I599" s="106">
        <f>'Detailed Report'!AT595</f>
        <v>24.2838596</v>
      </c>
      <c r="J599" s="106">
        <f>'Detailed Report'!AO595</f>
        <v>13.841799999999999</v>
      </c>
      <c r="K599" s="106">
        <f>'Detailed Report'!AP595</f>
        <v>1.9378519999999999</v>
      </c>
      <c r="L599" s="106">
        <f>'Detailed Report'!AU595/1.14</f>
        <v>24.55263157894737</v>
      </c>
      <c r="M599" s="106">
        <f>'Detailed Report'!AU595-L599</f>
        <v>3.4373684210526285</v>
      </c>
      <c r="N599" s="110">
        <f>'Detailed Report'!AW595</f>
        <v>549.45000000000005</v>
      </c>
      <c r="O599" s="111">
        <f t="shared" si="55"/>
        <v>144.37455999999997</v>
      </c>
      <c r="P599" s="110">
        <f>'Detailed Report'!AM595</f>
        <v>0</v>
      </c>
      <c r="Q599" s="110">
        <f>'Detailed Report'!AN595</f>
        <v>0</v>
      </c>
      <c r="R599" s="110">
        <f>'Detailed Report'!AU595/1.14</f>
        <v>24.55263157894737</v>
      </c>
      <c r="S599" s="110">
        <f>'Detailed Report'!AU595-'........... - Otlob'!R599</f>
        <v>3.4373684210526285</v>
      </c>
    </row>
    <row r="600" spans="1:19" ht="14.45" customHeight="1" x14ac:dyDescent="0.25">
      <c r="A600" s="105">
        <f>+IF(B600="","",SUBTOTAL(3,B$8:B600))</f>
        <v>593</v>
      </c>
      <c r="B600" s="106" t="str">
        <f>'Detailed Report'!O596</f>
        <v>Fuddruckers - New Maadi</v>
      </c>
      <c r="C600" s="107">
        <f>TRUNC('Detailed Report'!Q596,0)</f>
        <v>46042</v>
      </c>
      <c r="D600" s="108">
        <f>'Detailed Report'!P596</f>
        <v>3410441174</v>
      </c>
      <c r="E600" s="106" t="str">
        <f>'Detailed Report'!S596</f>
        <v>Successful</v>
      </c>
      <c r="F600" s="109">
        <f>IF(E600=$E$6,('Detailed Report'!Y596),IF(E600=$E$5,(0),0))</f>
        <v>429.99</v>
      </c>
      <c r="G600" s="106">
        <f>IF(E600=$E$6,('Detailed Report'!AQ596),IF(E600=$E$5,('Detailed Report'!AW596),0))</f>
        <v>377.18421000000001</v>
      </c>
      <c r="H600" s="106">
        <f>'Detailed Report'!AS596</f>
        <v>94.296049999999994</v>
      </c>
      <c r="I600" s="106">
        <f>'Detailed Report'!AT596</f>
        <v>13.201447</v>
      </c>
      <c r="J600" s="106">
        <f>'Detailed Report'!AO596</f>
        <v>7.5248249999999999</v>
      </c>
      <c r="K600" s="106">
        <f>'Detailed Report'!AP596</f>
        <v>1.0534755</v>
      </c>
      <c r="L600" s="106">
        <f>'Detailed Report'!AU596/1.14</f>
        <v>27.184210526315791</v>
      </c>
      <c r="M600" s="106">
        <f>'Detailed Report'!AU596-L600</f>
        <v>3.8057894736842073</v>
      </c>
      <c r="N600" s="110">
        <f>'Detailed Report'!AW596</f>
        <v>282.92399999999998</v>
      </c>
      <c r="O600" s="111">
        <f t="shared" si="55"/>
        <v>94.260210000000029</v>
      </c>
      <c r="P600" s="110">
        <f>'Detailed Report'!AM596</f>
        <v>0</v>
      </c>
      <c r="Q600" s="110">
        <f>'Detailed Report'!AN596</f>
        <v>0</v>
      </c>
      <c r="R600" s="110">
        <f>'Detailed Report'!AU596/1.14</f>
        <v>27.184210526315791</v>
      </c>
      <c r="S600" s="110">
        <f>'Detailed Report'!AU596-'........... - Otlob'!R600</f>
        <v>3.8057894736842073</v>
      </c>
    </row>
    <row r="601" spans="1:19" ht="14.45" customHeight="1" x14ac:dyDescent="0.25">
      <c r="A601" s="105">
        <f>+IF(B601="","",SUBTOTAL(3,B$8:B601))</f>
        <v>594</v>
      </c>
      <c r="B601" s="106" t="str">
        <f>'Detailed Report'!O597</f>
        <v>Fuddruckers - New Maadi</v>
      </c>
      <c r="C601" s="107">
        <f>TRUNC('Detailed Report'!Q597,0)</f>
        <v>46042</v>
      </c>
      <c r="D601" s="108">
        <f>'Detailed Report'!P597</f>
        <v>3410514732</v>
      </c>
      <c r="E601" s="106" t="str">
        <f>'Detailed Report'!S597</f>
        <v>Successful</v>
      </c>
      <c r="F601" s="109">
        <f>IF(E601=$E$6,('Detailed Report'!Y597),IF(E601=$E$5,(0),0))</f>
        <v>667.98</v>
      </c>
      <c r="G601" s="106">
        <f>IF(E601=$E$6,('Detailed Report'!AQ597),IF(E601=$E$5,('Detailed Report'!AW597),0))</f>
        <v>585.94736999999998</v>
      </c>
      <c r="H601" s="106">
        <f>'Detailed Report'!AS597</f>
        <v>146.48684</v>
      </c>
      <c r="I601" s="106">
        <f>'Detailed Report'!AT597</f>
        <v>20.508157600000001</v>
      </c>
      <c r="J601" s="106">
        <f>'Detailed Report'!AO597</f>
        <v>11.68965</v>
      </c>
      <c r="K601" s="106">
        <f>'Detailed Report'!AP597</f>
        <v>1.6365510000000001</v>
      </c>
      <c r="L601" s="106">
        <f>'Detailed Report'!AU597/1.14</f>
        <v>0</v>
      </c>
      <c r="M601" s="106">
        <f>'Detailed Report'!AU597-L601</f>
        <v>0</v>
      </c>
      <c r="N601" s="110">
        <f>'Detailed Report'!AW597</f>
        <v>487.65899999999999</v>
      </c>
      <c r="O601" s="111">
        <f t="shared" si="55"/>
        <v>98.288369999999986</v>
      </c>
      <c r="P601" s="110">
        <f>'Detailed Report'!AM597</f>
        <v>0</v>
      </c>
      <c r="Q601" s="110">
        <f>'Detailed Report'!AN597</f>
        <v>0</v>
      </c>
      <c r="R601" s="110">
        <f>'Detailed Report'!AU597/1.14</f>
        <v>0</v>
      </c>
      <c r="S601" s="110">
        <f>'Detailed Report'!AU597-'........... - Otlob'!R601</f>
        <v>0</v>
      </c>
    </row>
    <row r="602" spans="1:19" ht="14.45" customHeight="1" x14ac:dyDescent="0.25">
      <c r="A602" s="105">
        <f>+IF(B602="","",SUBTOTAL(3,B$8:B602))</f>
        <v>595</v>
      </c>
      <c r="B602" s="106" t="str">
        <f>'Detailed Report'!O598</f>
        <v>Fuddruckers - Concord Plaza Mall</v>
      </c>
      <c r="C602" s="107">
        <f>TRUNC('Detailed Report'!Q598,0)</f>
        <v>46042</v>
      </c>
      <c r="D602" s="108">
        <f>'Detailed Report'!P598</f>
        <v>3410525708</v>
      </c>
      <c r="E602" s="106" t="str">
        <f>'Detailed Report'!S598</f>
        <v>Successful</v>
      </c>
      <c r="F602" s="109">
        <f>IF(E602=$E$6,('Detailed Report'!Y598),IF(E602=$E$5,(0),0))</f>
        <v>842.98</v>
      </c>
      <c r="G602" s="106">
        <f>IF(E602=$E$6,('Detailed Report'!AQ598),IF(E602=$E$5,('Detailed Report'!AW598),0))</f>
        <v>810.45614</v>
      </c>
      <c r="H602" s="106">
        <f>'Detailed Report'!AS598</f>
        <v>202.61403999999999</v>
      </c>
      <c r="I602" s="106">
        <f>'Detailed Report'!AT598</f>
        <v>28.365965599999999</v>
      </c>
      <c r="J602" s="106">
        <f>'Detailed Report'!AO598</f>
        <v>14.75215</v>
      </c>
      <c r="K602" s="106">
        <f>'Detailed Report'!AP598</f>
        <v>2.0653009999999998</v>
      </c>
      <c r="L602" s="106">
        <f>'Detailed Report'!AU598/1.14</f>
        <v>30.692982456140356</v>
      </c>
      <c r="M602" s="106">
        <f>'Detailed Report'!AU598-L602</f>
        <v>4.2970175438596456</v>
      </c>
      <c r="N602" s="110">
        <f>'Detailed Report'!AW598</f>
        <v>641.13300000000004</v>
      </c>
      <c r="O602" s="111">
        <f t="shared" si="55"/>
        <v>169.32313999999997</v>
      </c>
      <c r="P602" s="110">
        <f>'Detailed Report'!AM598</f>
        <v>0</v>
      </c>
      <c r="Q602" s="110">
        <f>'Detailed Report'!AN598</f>
        <v>0</v>
      </c>
      <c r="R602" s="110">
        <f>'Detailed Report'!AU598/1.14</f>
        <v>30.692982456140356</v>
      </c>
      <c r="S602" s="110">
        <f>'Detailed Report'!AU598-'........... - Otlob'!R602</f>
        <v>4.2970175438596456</v>
      </c>
    </row>
    <row r="603" spans="1:19" ht="14.45" customHeight="1" x14ac:dyDescent="0.25">
      <c r="A603" s="105">
        <f>+IF(B603="","",SUBTOTAL(3,B$8:B603))</f>
        <v>596</v>
      </c>
      <c r="B603" s="106" t="str">
        <f>'Detailed Report'!O599</f>
        <v>Fuddruckers - Concord Plaza Mall</v>
      </c>
      <c r="C603" s="107">
        <f>TRUNC('Detailed Report'!Q599,0)</f>
        <v>46042</v>
      </c>
      <c r="D603" s="108">
        <f>'Detailed Report'!P599</f>
        <v>3410536233</v>
      </c>
      <c r="E603" s="106" t="str">
        <f>'Detailed Report'!S599</f>
        <v>Successful</v>
      </c>
      <c r="F603" s="109">
        <f>IF(E603=$E$6,('Detailed Report'!Y599),IF(E603=$E$5,(0),0))</f>
        <v>240.48</v>
      </c>
      <c r="G603" s="106">
        <f>IF(E603=$E$6,('Detailed Report'!AQ599),IF(E603=$E$5,('Detailed Report'!AW599),0))</f>
        <v>210.94737000000001</v>
      </c>
      <c r="H603" s="106">
        <f>'Detailed Report'!AS599</f>
        <v>52.736840000000001</v>
      </c>
      <c r="I603" s="106">
        <f>'Detailed Report'!AT599</f>
        <v>7.3831575999999997</v>
      </c>
      <c r="J603" s="106">
        <f>'Detailed Report'!AO599</f>
        <v>4.2084000000000001</v>
      </c>
      <c r="K603" s="106">
        <f>'Detailed Report'!AP599</f>
        <v>0.58917600000000003</v>
      </c>
      <c r="L603" s="106">
        <f>'Detailed Report'!AU599/1.14</f>
        <v>28.938596491228076</v>
      </c>
      <c r="M603" s="106">
        <f>'Detailed Report'!AU599-L603</f>
        <v>4.0514035087719265</v>
      </c>
      <c r="N603" s="110">
        <f>'Detailed Report'!AW599</f>
        <v>142.572</v>
      </c>
      <c r="O603" s="111">
        <f t="shared" si="55"/>
        <v>68.375370000000004</v>
      </c>
      <c r="P603" s="110">
        <f>'Detailed Report'!AM599</f>
        <v>0</v>
      </c>
      <c r="Q603" s="110">
        <f>'Detailed Report'!AN599</f>
        <v>0</v>
      </c>
      <c r="R603" s="110">
        <f>'Detailed Report'!AU599/1.14</f>
        <v>28.938596491228076</v>
      </c>
      <c r="S603" s="110">
        <f>'Detailed Report'!AU599-'........... - Otlob'!R603</f>
        <v>4.0514035087719265</v>
      </c>
    </row>
    <row r="604" spans="1:19" ht="14.45" customHeight="1" x14ac:dyDescent="0.25">
      <c r="A604" s="105">
        <f>+IF(B604="","",SUBTOTAL(3,B$8:B604))</f>
        <v>597</v>
      </c>
      <c r="B604" s="106" t="str">
        <f>'Detailed Report'!O600</f>
        <v>Fuddruckers - Concord Plaza Mall</v>
      </c>
      <c r="C604" s="107">
        <f>TRUNC('Detailed Report'!Q600,0)</f>
        <v>46042</v>
      </c>
      <c r="D604" s="108">
        <f>'Detailed Report'!P600</f>
        <v>3410584373</v>
      </c>
      <c r="E604" s="106" t="str">
        <f>'Detailed Report'!S600</f>
        <v>Successful</v>
      </c>
      <c r="F604" s="109">
        <f>IF(E604=$E$6,('Detailed Report'!Y600),IF(E604=$E$5,(0),0))</f>
        <v>1077.6500000000001</v>
      </c>
      <c r="G604" s="106">
        <f>IF(E604=$E$6,('Detailed Report'!AQ600),IF(E604=$E$5,('Detailed Report'!AW600),0))</f>
        <v>945.30701999999997</v>
      </c>
      <c r="H604" s="106">
        <f>'Detailed Report'!AS600</f>
        <v>236.32676000000001</v>
      </c>
      <c r="I604" s="106">
        <f>'Detailed Report'!AT600</f>
        <v>33.085746399999998</v>
      </c>
      <c r="J604" s="106">
        <f>'Detailed Report'!AO600</f>
        <v>18.858875000000001</v>
      </c>
      <c r="K604" s="106">
        <f>'Detailed Report'!AP600</f>
        <v>2.6402424999999998</v>
      </c>
      <c r="L604" s="106">
        <f>'Detailed Report'!AU600/1.14</f>
        <v>30.692982456140356</v>
      </c>
      <c r="M604" s="106">
        <f>'Detailed Report'!AU600-L604</f>
        <v>4.2970175438596456</v>
      </c>
      <c r="N604" s="110">
        <f>'Detailed Report'!AW600</f>
        <v>751.74800000000005</v>
      </c>
      <c r="O604" s="111">
        <f t="shared" si="55"/>
        <v>193.55901999999992</v>
      </c>
      <c r="P604" s="110">
        <f>'Detailed Report'!AM600</f>
        <v>0</v>
      </c>
      <c r="Q604" s="110">
        <f>'Detailed Report'!AN600</f>
        <v>0</v>
      </c>
      <c r="R604" s="110">
        <f>'Detailed Report'!AU600/1.14</f>
        <v>30.692982456140356</v>
      </c>
      <c r="S604" s="110">
        <f>'Detailed Report'!AU600-'........... - Otlob'!R604</f>
        <v>4.2970175438596456</v>
      </c>
    </row>
    <row r="605" spans="1:19" ht="14.45" customHeight="1" x14ac:dyDescent="0.25">
      <c r="A605" s="105">
        <f>+IF(B605="","",SUBTOTAL(3,B$8:B605))</f>
        <v>598</v>
      </c>
      <c r="B605" s="106" t="str">
        <f>'Detailed Report'!O601</f>
        <v>Fuddruckers - New Maadi</v>
      </c>
      <c r="C605" s="107">
        <f>TRUNC('Detailed Report'!Q601,0)</f>
        <v>46042</v>
      </c>
      <c r="D605" s="108">
        <f>'Detailed Report'!P601</f>
        <v>3410615323</v>
      </c>
      <c r="E605" s="106" t="str">
        <f>'Detailed Report'!S601</f>
        <v>Successful</v>
      </c>
      <c r="F605" s="109">
        <f>IF(E605=$E$6,('Detailed Report'!Y601),IF(E605=$E$5,(0),0))</f>
        <v>477.97</v>
      </c>
      <c r="G605" s="106">
        <f>IF(E605=$E$6,('Detailed Report'!AQ601),IF(E605=$E$5,('Detailed Report'!AW601),0))</f>
        <v>598.21052999999995</v>
      </c>
      <c r="H605" s="106">
        <f>'Detailed Report'!AS601</f>
        <v>149.55262999999999</v>
      </c>
      <c r="I605" s="106">
        <f>'Detailed Report'!AT601</f>
        <v>20.937368200000002</v>
      </c>
      <c r="J605" s="106">
        <f>'Detailed Report'!AO601</f>
        <v>8.3644750000000005</v>
      </c>
      <c r="K605" s="106">
        <f>'Detailed Report'!AP601</f>
        <v>1.1710265</v>
      </c>
      <c r="L605" s="106">
        <f>'Detailed Report'!AU601/1.14</f>
        <v>23.67543859649123</v>
      </c>
      <c r="M605" s="106">
        <f>'Detailed Report'!AU601-L605</f>
        <v>3.3145614035087689</v>
      </c>
      <c r="N605" s="110">
        <f>'Detailed Report'!AW601</f>
        <v>270.95499999999998</v>
      </c>
      <c r="O605" s="111">
        <f t="shared" si="55"/>
        <v>327.25552999999996</v>
      </c>
      <c r="P605" s="110">
        <f>'Detailed Report'!AM601</f>
        <v>0</v>
      </c>
      <c r="Q605" s="110">
        <f>'Detailed Report'!AN601</f>
        <v>0</v>
      </c>
      <c r="R605" s="110">
        <f>'Detailed Report'!AU601/1.14</f>
        <v>23.67543859649123</v>
      </c>
      <c r="S605" s="110">
        <f>'Detailed Report'!AU601-'........... - Otlob'!R605</f>
        <v>3.3145614035087689</v>
      </c>
    </row>
    <row r="606" spans="1:19" ht="14.45" customHeight="1" x14ac:dyDescent="0.25">
      <c r="A606" s="105">
        <f>+IF(B606="","",SUBTOTAL(3,B$8:B606))</f>
        <v>599</v>
      </c>
      <c r="B606" s="106" t="str">
        <f>'Detailed Report'!O602</f>
        <v>Fuddruckers - City Stars</v>
      </c>
      <c r="C606" s="107">
        <f>TRUNC('Detailed Report'!Q602,0)</f>
        <v>46042</v>
      </c>
      <c r="D606" s="108">
        <f>'Detailed Report'!P602</f>
        <v>3410616007</v>
      </c>
      <c r="E606" s="106" t="str">
        <f>'Detailed Report'!S602</f>
        <v>Successful</v>
      </c>
      <c r="F606" s="109">
        <f>IF(E606=$E$6,('Detailed Report'!Y602),IF(E606=$E$5,(0),0))</f>
        <v>620.63</v>
      </c>
      <c r="G606" s="106">
        <f>IF(E606=$E$6,('Detailed Report'!AQ602),IF(E606=$E$5,('Detailed Report'!AW602),0))</f>
        <v>544.41228000000001</v>
      </c>
      <c r="H606" s="106">
        <f>'Detailed Report'!AS602</f>
        <v>136.10307</v>
      </c>
      <c r="I606" s="106">
        <f>'Detailed Report'!AT602</f>
        <v>19.054429800000001</v>
      </c>
      <c r="J606" s="106">
        <f>'Detailed Report'!AO602</f>
        <v>0</v>
      </c>
      <c r="K606" s="106">
        <f>'Detailed Report'!AP602</f>
        <v>0</v>
      </c>
      <c r="L606" s="106">
        <f>'Detailed Report'!AU602/1.14</f>
        <v>0</v>
      </c>
      <c r="M606" s="106">
        <f>'Detailed Report'!AU602-L606</f>
        <v>0</v>
      </c>
      <c r="N606" s="110">
        <f>'Detailed Report'!AW602</f>
        <v>465.47300000000001</v>
      </c>
      <c r="O606" s="111">
        <f t="shared" si="55"/>
        <v>78.939279999999997</v>
      </c>
      <c r="P606" s="110">
        <f>'Detailed Report'!AM602</f>
        <v>0</v>
      </c>
      <c r="Q606" s="110">
        <f>'Detailed Report'!AN602</f>
        <v>0</v>
      </c>
      <c r="R606" s="110">
        <f>'Detailed Report'!AU602/1.14</f>
        <v>0</v>
      </c>
      <c r="S606" s="110">
        <f>'Detailed Report'!AU602-'........... - Otlob'!R606</f>
        <v>0</v>
      </c>
    </row>
    <row r="607" spans="1:19" ht="14.45" customHeight="1" x14ac:dyDescent="0.25">
      <c r="A607" s="105">
        <f>+IF(B607="","",SUBTOTAL(3,B$8:B607))</f>
        <v>600</v>
      </c>
      <c r="B607" s="106" t="str">
        <f>'Detailed Report'!O603</f>
        <v>Fuddruckers - Concord Plaza Mall</v>
      </c>
      <c r="C607" s="107">
        <f>TRUNC('Detailed Report'!Q603,0)</f>
        <v>46042</v>
      </c>
      <c r="D607" s="108">
        <f>'Detailed Report'!P603</f>
        <v>3410712645</v>
      </c>
      <c r="E607" s="106" t="str">
        <f>'Detailed Report'!S603</f>
        <v>Successful</v>
      </c>
      <c r="F607" s="109">
        <f>IF(E607=$E$6,('Detailed Report'!Y603),IF(E607=$E$5,(0),0))</f>
        <v>209.99</v>
      </c>
      <c r="G607" s="106">
        <f>IF(E607=$E$6,('Detailed Report'!AQ603),IF(E607=$E$5,('Detailed Report'!AW603),0))</f>
        <v>184.20175</v>
      </c>
      <c r="H607" s="106">
        <f>'Detailed Report'!AS603</f>
        <v>46.050440000000002</v>
      </c>
      <c r="I607" s="106">
        <f>'Detailed Report'!AT603</f>
        <v>6.4470615999999996</v>
      </c>
      <c r="J607" s="106">
        <f>'Detailed Report'!AO603</f>
        <v>3.6748249999999998</v>
      </c>
      <c r="K607" s="106">
        <f>'Detailed Report'!AP603</f>
        <v>0.51447549999999997</v>
      </c>
      <c r="L607" s="106">
        <f>'Detailed Report'!AU603/1.14</f>
        <v>0</v>
      </c>
      <c r="M607" s="106">
        <f>'Detailed Report'!AU603-L607</f>
        <v>0</v>
      </c>
      <c r="N607" s="110">
        <f>'Detailed Report'!AW603</f>
        <v>153.303</v>
      </c>
      <c r="O607" s="111">
        <f t="shared" si="55"/>
        <v>30.898750000000007</v>
      </c>
      <c r="P607" s="110">
        <f>'Detailed Report'!AM603</f>
        <v>0</v>
      </c>
      <c r="Q607" s="110">
        <f>'Detailed Report'!AN603</f>
        <v>0</v>
      </c>
      <c r="R607" s="110">
        <f>'Detailed Report'!AU603/1.14</f>
        <v>0</v>
      </c>
      <c r="S607" s="110">
        <f>'Detailed Report'!AU603-'........... - Otlob'!R607</f>
        <v>0</v>
      </c>
    </row>
    <row r="608" spans="1:19" ht="14.45" customHeight="1" x14ac:dyDescent="0.25">
      <c r="A608" s="105">
        <f>+IF(B608="","",SUBTOTAL(3,B$8:B608))</f>
        <v>601</v>
      </c>
      <c r="B608" s="106" t="str">
        <f>'Detailed Report'!O604</f>
        <v>Fuddruckers - Concord Plaza Mall</v>
      </c>
      <c r="C608" s="107">
        <f>TRUNC('Detailed Report'!Q604,0)</f>
        <v>46042</v>
      </c>
      <c r="D608" s="108">
        <f>'Detailed Report'!P604</f>
        <v>3410721031</v>
      </c>
      <c r="E608" s="106" t="str">
        <f>'Detailed Report'!S604</f>
        <v>Successful</v>
      </c>
      <c r="F608" s="109">
        <f>IF(E608=$E$6,('Detailed Report'!Y604),IF(E608=$E$5,(0),0))</f>
        <v>241.79</v>
      </c>
      <c r="G608" s="106">
        <f>IF(E608=$E$6,('Detailed Report'!AQ604),IF(E608=$E$5,('Detailed Report'!AW604),0))</f>
        <v>212.09648999999999</v>
      </c>
      <c r="H608" s="106">
        <f>'Detailed Report'!AS604</f>
        <v>53.024120000000003</v>
      </c>
      <c r="I608" s="106">
        <f>'Detailed Report'!AT604</f>
        <v>7.4233767999999998</v>
      </c>
      <c r="J608" s="106">
        <f>'Detailed Report'!AO604</f>
        <v>4.231325</v>
      </c>
      <c r="K608" s="106">
        <f>'Detailed Report'!AP604</f>
        <v>0.59238550000000001</v>
      </c>
      <c r="L608" s="106">
        <f>'Detailed Report'!AU604/1.14</f>
        <v>27.184210526315791</v>
      </c>
      <c r="M608" s="106">
        <f>'Detailed Report'!AU604-L608</f>
        <v>3.8057894736842073</v>
      </c>
      <c r="N608" s="110">
        <f>'Detailed Report'!AW604</f>
        <v>145.529</v>
      </c>
      <c r="O608" s="111">
        <f t="shared" si="55"/>
        <v>66.567489999999992</v>
      </c>
      <c r="P608" s="110">
        <f>'Detailed Report'!AM604</f>
        <v>0</v>
      </c>
      <c r="Q608" s="110">
        <f>'Detailed Report'!AN604</f>
        <v>0</v>
      </c>
      <c r="R608" s="110">
        <f>'Detailed Report'!AU604/1.14</f>
        <v>27.184210526315791</v>
      </c>
      <c r="S608" s="110">
        <f>'Detailed Report'!AU604-'........... - Otlob'!R608</f>
        <v>3.8057894736842073</v>
      </c>
    </row>
    <row r="609" spans="1:19" ht="14.45" customHeight="1" x14ac:dyDescent="0.25">
      <c r="A609" s="105">
        <f>+IF(B609="","",SUBTOTAL(3,B$8:B609))</f>
        <v>602</v>
      </c>
      <c r="B609" s="106" t="str">
        <f>'Detailed Report'!O605</f>
        <v>Fuddruckers - New Maadi</v>
      </c>
      <c r="C609" s="107">
        <f>TRUNC('Detailed Report'!Q605,0)</f>
        <v>46042</v>
      </c>
      <c r="D609" s="108">
        <f>'Detailed Report'!P605</f>
        <v>3410743955</v>
      </c>
      <c r="E609" s="106" t="str">
        <f>'Detailed Report'!S605</f>
        <v>Successful</v>
      </c>
      <c r="F609" s="109">
        <f>IF(E609=$E$6,('Detailed Report'!Y605),IF(E609=$E$5,(0),0))</f>
        <v>319.99</v>
      </c>
      <c r="G609" s="106">
        <f>IF(E609=$E$6,('Detailed Report'!AQ605),IF(E609=$E$5,('Detailed Report'!AW605),0))</f>
        <v>280.69297999999998</v>
      </c>
      <c r="H609" s="106">
        <f>'Detailed Report'!AS605</f>
        <v>70.173249999999996</v>
      </c>
      <c r="I609" s="106">
        <f>'Detailed Report'!AT605</f>
        <v>9.8242550000000008</v>
      </c>
      <c r="J609" s="106">
        <f>'Detailed Report'!AO605</f>
        <v>5.5998250000000001</v>
      </c>
      <c r="K609" s="106">
        <f>'Detailed Report'!AP605</f>
        <v>0.78397550000000005</v>
      </c>
      <c r="L609" s="106">
        <f>'Detailed Report'!AU605/1.14</f>
        <v>0</v>
      </c>
      <c r="M609" s="106">
        <f>'Detailed Report'!AU605-L609</f>
        <v>0</v>
      </c>
      <c r="N609" s="110">
        <f>'Detailed Report'!AW605</f>
        <v>233.60900000000001</v>
      </c>
      <c r="O609" s="111">
        <f t="shared" si="55"/>
        <v>47.083979999999968</v>
      </c>
      <c r="P609" s="110">
        <f>'Detailed Report'!AM605</f>
        <v>0</v>
      </c>
      <c r="Q609" s="110">
        <f>'Detailed Report'!AN605</f>
        <v>0</v>
      </c>
      <c r="R609" s="110">
        <f>'Detailed Report'!AU605/1.14</f>
        <v>0</v>
      </c>
      <c r="S609" s="110">
        <f>'Detailed Report'!AU605-'........... - Otlob'!R609</f>
        <v>0</v>
      </c>
    </row>
    <row r="610" spans="1:19" ht="14.45" customHeight="1" x14ac:dyDescent="0.25">
      <c r="A610" s="105">
        <f>+IF(B610="","",SUBTOTAL(3,B$8:B610))</f>
        <v>603</v>
      </c>
      <c r="B610" s="106" t="str">
        <f>'Detailed Report'!O606</f>
        <v>Fuddruckers - New Maadi</v>
      </c>
      <c r="C610" s="107">
        <f>TRUNC('Detailed Report'!Q606,0)</f>
        <v>46042</v>
      </c>
      <c r="D610" s="108">
        <f>'Detailed Report'!P606</f>
        <v>3410774636</v>
      </c>
      <c r="E610" s="106" t="str">
        <f>'Detailed Report'!S606</f>
        <v>Successful</v>
      </c>
      <c r="F610" s="109">
        <f>IF(E610=$E$6,('Detailed Report'!Y606),IF(E610=$E$5,(0),0))</f>
        <v>928.98</v>
      </c>
      <c r="G610" s="106">
        <f>IF(E610=$E$6,('Detailed Report'!AQ606),IF(E610=$E$5,('Detailed Report'!AW606),0))</f>
        <v>814.89473999999996</v>
      </c>
      <c r="H610" s="106">
        <f>'Detailed Report'!AS606</f>
        <v>203.72369</v>
      </c>
      <c r="I610" s="106">
        <f>'Detailed Report'!AT606</f>
        <v>28.521316599999999</v>
      </c>
      <c r="J610" s="106">
        <f>'Detailed Report'!AO606</f>
        <v>16.257202499999998</v>
      </c>
      <c r="K610" s="106">
        <f>'Detailed Report'!AP606</f>
        <v>2.2760083500000001</v>
      </c>
      <c r="L610" s="106">
        <f>'Detailed Report'!AU606/1.14</f>
        <v>0</v>
      </c>
      <c r="M610" s="106">
        <f>'Detailed Report'!AU606-L610</f>
        <v>0</v>
      </c>
      <c r="N610" s="110">
        <f>'Detailed Report'!AW606</f>
        <v>678.202</v>
      </c>
      <c r="O610" s="111">
        <f t="shared" si="55"/>
        <v>136.69273999999996</v>
      </c>
      <c r="P610" s="110">
        <f>'Detailed Report'!AM606</f>
        <v>0</v>
      </c>
      <c r="Q610" s="110">
        <f>'Detailed Report'!AN606</f>
        <v>0</v>
      </c>
      <c r="R610" s="110">
        <f>'Detailed Report'!AU606/1.14</f>
        <v>0</v>
      </c>
      <c r="S610" s="110">
        <f>'Detailed Report'!AU606-'........... - Otlob'!R610</f>
        <v>0</v>
      </c>
    </row>
    <row r="611" spans="1:19" ht="14.45" customHeight="1" x14ac:dyDescent="0.25">
      <c r="A611" s="105">
        <f>+IF(B611="","",SUBTOTAL(3,B$8:B611))</f>
        <v>604</v>
      </c>
      <c r="B611" s="106" t="str">
        <f>'Detailed Report'!O607</f>
        <v>Fuddruckers - New Maadi</v>
      </c>
      <c r="C611" s="107">
        <f>TRUNC('Detailed Report'!Q607,0)</f>
        <v>46043</v>
      </c>
      <c r="D611" s="108">
        <f>'Detailed Report'!P607</f>
        <v>3411261786</v>
      </c>
      <c r="E611" s="106" t="str">
        <f>'Detailed Report'!S607</f>
        <v>Successful</v>
      </c>
      <c r="F611" s="109">
        <f>IF(E611=$E$6,('Detailed Report'!Y607),IF(E611=$E$5,(0),0))</f>
        <v>390.33</v>
      </c>
      <c r="G611" s="106">
        <f>IF(E611=$E$6,('Detailed Report'!AQ607),IF(E611=$E$5,('Detailed Report'!AW607),0))</f>
        <v>342.39474000000001</v>
      </c>
      <c r="H611" s="106">
        <f>'Detailed Report'!AS607</f>
        <v>85.598690000000005</v>
      </c>
      <c r="I611" s="106">
        <f>'Detailed Report'!AT607</f>
        <v>11.983816600000001</v>
      </c>
      <c r="J611" s="106">
        <f>'Detailed Report'!AO607</f>
        <v>0</v>
      </c>
      <c r="K611" s="106">
        <f>'Detailed Report'!AP607</f>
        <v>0</v>
      </c>
      <c r="L611" s="106">
        <f>'Detailed Report'!AU607/1.14</f>
        <v>0</v>
      </c>
      <c r="M611" s="106">
        <f>'Detailed Report'!AU607-L611</f>
        <v>0</v>
      </c>
      <c r="N611" s="110">
        <f>'Detailed Report'!AW607</f>
        <v>258.54700000000003</v>
      </c>
      <c r="O611" s="111">
        <f t="shared" si="55"/>
        <v>83.847739999999988</v>
      </c>
      <c r="P611" s="110">
        <f>'Detailed Report'!AM607</f>
        <v>30</v>
      </c>
      <c r="Q611" s="110">
        <f>'Detailed Report'!AN607</f>
        <v>4.2</v>
      </c>
      <c r="R611" s="110">
        <f>'Detailed Report'!AU607/1.14</f>
        <v>0</v>
      </c>
      <c r="S611" s="110">
        <f>'Detailed Report'!AU607-'........... - Otlob'!R611</f>
        <v>0</v>
      </c>
    </row>
    <row r="612" spans="1:19" ht="14.45" customHeight="1" x14ac:dyDescent="0.25">
      <c r="A612" s="105">
        <f>+IF(B612="","",SUBTOTAL(3,B$8:B612))</f>
        <v>605</v>
      </c>
      <c r="B612" s="106" t="str">
        <f>'Detailed Report'!O608</f>
        <v>Fuddruckers - Concord Plaza Mall</v>
      </c>
      <c r="C612" s="107">
        <f>TRUNC('Detailed Report'!Q608,0)</f>
        <v>46043</v>
      </c>
      <c r="D612" s="108">
        <f>'Detailed Report'!P608</f>
        <v>3411362097</v>
      </c>
      <c r="E612" s="106" t="str">
        <f>'Detailed Report'!S608</f>
        <v>Successful</v>
      </c>
      <c r="F612" s="109">
        <f>IF(E612=$E$6,('Detailed Report'!Y608),IF(E612=$E$5,(0),0))</f>
        <v>178.49</v>
      </c>
      <c r="G612" s="106">
        <f>IF(E612=$E$6,('Detailed Report'!AQ608),IF(E612=$E$5,('Detailed Report'!AW608),0))</f>
        <v>156.57017999999999</v>
      </c>
      <c r="H612" s="106">
        <f>'Detailed Report'!AS608</f>
        <v>39.14255</v>
      </c>
      <c r="I612" s="106">
        <f>'Detailed Report'!AT608</f>
        <v>5.4799569999999997</v>
      </c>
      <c r="J612" s="106">
        <f>'Detailed Report'!AO608</f>
        <v>3.1235750000000002</v>
      </c>
      <c r="K612" s="106">
        <f>'Detailed Report'!AP608</f>
        <v>0.43730049999999998</v>
      </c>
      <c r="L612" s="106">
        <f>'Detailed Report'!AU608/1.14</f>
        <v>28.061403508771932</v>
      </c>
      <c r="M612" s="106">
        <f>'Detailed Report'!AU608-L612</f>
        <v>3.9285964912280669</v>
      </c>
      <c r="N612" s="110">
        <f>'Detailed Report'!AW608</f>
        <v>98.316999999999993</v>
      </c>
      <c r="O612" s="111">
        <f t="shared" si="55"/>
        <v>58.25318</v>
      </c>
      <c r="P612" s="110">
        <f>'Detailed Report'!AM608</f>
        <v>0</v>
      </c>
      <c r="Q612" s="110">
        <f>'Detailed Report'!AN608</f>
        <v>0</v>
      </c>
      <c r="R612" s="110">
        <f>'Detailed Report'!AU608/1.14</f>
        <v>28.061403508771932</v>
      </c>
      <c r="S612" s="110">
        <f>'Detailed Report'!AU608-'........... - Otlob'!R612</f>
        <v>3.9285964912280669</v>
      </c>
    </row>
    <row r="613" spans="1:19" ht="14.45" customHeight="1" x14ac:dyDescent="0.25">
      <c r="A613" s="105">
        <f>+IF(B613="","",SUBTOTAL(3,B$8:B613))</f>
        <v>606</v>
      </c>
      <c r="B613" s="106" t="str">
        <f>'Detailed Report'!O609</f>
        <v>Fuddruckers - New Maadi</v>
      </c>
      <c r="C613" s="107">
        <f>TRUNC('Detailed Report'!Q609,0)</f>
        <v>46043</v>
      </c>
      <c r="D613" s="108">
        <f>'Detailed Report'!P609</f>
        <v>3411432547</v>
      </c>
      <c r="E613" s="106" t="str">
        <f>'Detailed Report'!S609</f>
        <v>Successful</v>
      </c>
      <c r="F613" s="109">
        <f>IF(E613=$E$6,('Detailed Report'!Y609),IF(E613=$E$5,(0),0))</f>
        <v>362.99</v>
      </c>
      <c r="G613" s="106">
        <f>IF(E613=$E$6,('Detailed Report'!AQ609),IF(E613=$E$5,('Detailed Report'!AW609),0))</f>
        <v>318.41228000000001</v>
      </c>
      <c r="H613" s="106">
        <f>'Detailed Report'!AS609</f>
        <v>79.603070000000002</v>
      </c>
      <c r="I613" s="106">
        <f>'Detailed Report'!AT609</f>
        <v>11.144429799999999</v>
      </c>
      <c r="J613" s="106">
        <f>'Detailed Report'!AO609</f>
        <v>6.3523250000000004</v>
      </c>
      <c r="K613" s="106">
        <f>'Detailed Report'!AP609</f>
        <v>0.88932549999999999</v>
      </c>
      <c r="L613" s="106">
        <f>'Detailed Report'!AU609/1.14</f>
        <v>0</v>
      </c>
      <c r="M613" s="106">
        <f>'Detailed Report'!AU609-L613</f>
        <v>0</v>
      </c>
      <c r="N613" s="110">
        <f>'Detailed Report'!AW609</f>
        <v>265.00099999999998</v>
      </c>
      <c r="O613" s="111">
        <f t="shared" si="55"/>
        <v>53.411280000000033</v>
      </c>
      <c r="P613" s="110">
        <f>'Detailed Report'!AM609</f>
        <v>0</v>
      </c>
      <c r="Q613" s="110">
        <f>'Detailed Report'!AN609</f>
        <v>0</v>
      </c>
      <c r="R613" s="110">
        <f>'Detailed Report'!AU609/1.14</f>
        <v>0</v>
      </c>
      <c r="S613" s="110">
        <f>'Detailed Report'!AU609-'........... - Otlob'!R613</f>
        <v>0</v>
      </c>
    </row>
    <row r="614" spans="1:19" ht="14.45" customHeight="1" x14ac:dyDescent="0.25">
      <c r="A614" s="105">
        <f>+IF(B614="","",SUBTOTAL(3,B$8:B614))</f>
        <v>607</v>
      </c>
      <c r="B614" s="106" t="str">
        <f>'Detailed Report'!O610</f>
        <v>Fuddruckers - City Stars</v>
      </c>
      <c r="C614" s="107">
        <f>TRUNC('Detailed Report'!Q610,0)</f>
        <v>46043</v>
      </c>
      <c r="D614" s="108">
        <f>'Detailed Report'!P610</f>
        <v>3411549731</v>
      </c>
      <c r="E614" s="106" t="str">
        <f>'Detailed Report'!S610</f>
        <v>Successful</v>
      </c>
      <c r="F614" s="109">
        <f>IF(E614=$E$6,('Detailed Report'!Y610),IF(E614=$E$5,(0),0))</f>
        <v>652.91</v>
      </c>
      <c r="G614" s="106">
        <f>IF(E614=$E$6,('Detailed Report'!AQ610),IF(E614=$E$5,('Detailed Report'!AW610),0))</f>
        <v>572.72807</v>
      </c>
      <c r="H614" s="106">
        <f>'Detailed Report'!AS610</f>
        <v>143.18201999999999</v>
      </c>
      <c r="I614" s="106">
        <f>'Detailed Report'!AT610</f>
        <v>20.045482799999998</v>
      </c>
      <c r="J614" s="106">
        <f>'Detailed Report'!AO610</f>
        <v>11.425924999999999</v>
      </c>
      <c r="K614" s="106">
        <f>'Detailed Report'!AP610</f>
        <v>1.5996295</v>
      </c>
      <c r="L614" s="106">
        <f>'Detailed Report'!AU610/1.14</f>
        <v>26.307017543859651</v>
      </c>
      <c r="M614" s="106">
        <f>'Detailed Report'!AU610-L614</f>
        <v>3.6829824561403477</v>
      </c>
      <c r="N614" s="110">
        <f>'Detailed Report'!AW610</f>
        <v>446.66699999999997</v>
      </c>
      <c r="O614" s="111">
        <f t="shared" si="55"/>
        <v>126.06107000000003</v>
      </c>
      <c r="P614" s="110">
        <f>'Detailed Report'!AM610</f>
        <v>0</v>
      </c>
      <c r="Q614" s="110">
        <f>'Detailed Report'!AN610</f>
        <v>0</v>
      </c>
      <c r="R614" s="110">
        <f>'Detailed Report'!AU610/1.14</f>
        <v>26.307017543859651</v>
      </c>
      <c r="S614" s="110">
        <f>'Detailed Report'!AU610-'........... - Otlob'!R614</f>
        <v>3.6829824561403477</v>
      </c>
    </row>
    <row r="615" spans="1:19" ht="14.45" customHeight="1" x14ac:dyDescent="0.25">
      <c r="A615" s="105">
        <f>+IF(B615="","",SUBTOTAL(3,B$8:B615))</f>
        <v>608</v>
      </c>
      <c r="B615" s="106" t="str">
        <f>'Detailed Report'!O611</f>
        <v>Fuddruckers - New Maadi</v>
      </c>
      <c r="C615" s="107">
        <f>TRUNC('Detailed Report'!Q611,0)</f>
        <v>46043</v>
      </c>
      <c r="D615" s="108">
        <f>'Detailed Report'!P611</f>
        <v>3411611402</v>
      </c>
      <c r="E615" s="106" t="str">
        <f>'Detailed Report'!S611</f>
        <v>Successful</v>
      </c>
      <c r="F615" s="109">
        <f>IF(E615=$E$6,('Detailed Report'!Y611),IF(E615=$E$5,(0),0))</f>
        <v>1105.96</v>
      </c>
      <c r="G615" s="106">
        <f>IF(E615=$E$6,('Detailed Report'!AQ611),IF(E615=$E$5,('Detailed Report'!AW611),0))</f>
        <v>970.14035000000001</v>
      </c>
      <c r="H615" s="106">
        <f>'Detailed Report'!AS611</f>
        <v>242.53509</v>
      </c>
      <c r="I615" s="106">
        <f>'Detailed Report'!AT611</f>
        <v>33.9549126</v>
      </c>
      <c r="J615" s="106">
        <f>'Detailed Report'!AO611</f>
        <v>19.354298249999999</v>
      </c>
      <c r="K615" s="106">
        <f>'Detailed Report'!AP611</f>
        <v>2.709601755</v>
      </c>
      <c r="L615" s="106">
        <f>'Detailed Report'!AU611/1.14</f>
        <v>0</v>
      </c>
      <c r="M615" s="106">
        <f>'Detailed Report'!AU611-L615</f>
        <v>0</v>
      </c>
      <c r="N615" s="110">
        <f>'Detailed Report'!AW611</f>
        <v>807.40599999999995</v>
      </c>
      <c r="O615" s="111">
        <f t="shared" si="55"/>
        <v>162.73435000000006</v>
      </c>
      <c r="P615" s="110">
        <f>'Detailed Report'!AM611</f>
        <v>0</v>
      </c>
      <c r="Q615" s="110">
        <f>'Detailed Report'!AN611</f>
        <v>0</v>
      </c>
      <c r="R615" s="110">
        <f>'Detailed Report'!AU611/1.14</f>
        <v>0</v>
      </c>
      <c r="S615" s="110">
        <f>'Detailed Report'!AU611-'........... - Otlob'!R615</f>
        <v>0</v>
      </c>
    </row>
    <row r="616" spans="1:19" ht="14.45" customHeight="1" x14ac:dyDescent="0.25">
      <c r="A616" s="105">
        <f>+IF(B616="","",SUBTOTAL(3,B$8:B616))</f>
        <v>609</v>
      </c>
      <c r="B616" s="106" t="str">
        <f>'Detailed Report'!O612</f>
        <v>Fuddruckers - New Maadi</v>
      </c>
      <c r="C616" s="107">
        <f>TRUNC('Detailed Report'!Q612,0)</f>
        <v>46043</v>
      </c>
      <c r="D616" s="108">
        <f>'Detailed Report'!P612</f>
        <v>3411630900</v>
      </c>
      <c r="E616" s="106" t="str">
        <f>'Detailed Report'!S612</f>
        <v>Successful</v>
      </c>
      <c r="F616" s="109">
        <f>IF(E616=$E$6,('Detailed Report'!Y612),IF(E616=$E$5,(0),0))</f>
        <v>267.67</v>
      </c>
      <c r="G616" s="106">
        <f>IF(E616=$E$6,('Detailed Report'!AQ612),IF(E616=$E$5,('Detailed Report'!AW612),0))</f>
        <v>234.79825</v>
      </c>
      <c r="H616" s="106">
        <f>'Detailed Report'!AS612</f>
        <v>58.699559999999998</v>
      </c>
      <c r="I616" s="106">
        <f>'Detailed Report'!AT612</f>
        <v>8.2179383999999995</v>
      </c>
      <c r="J616" s="106">
        <f>'Detailed Report'!AO612</f>
        <v>0</v>
      </c>
      <c r="K616" s="106">
        <f>'Detailed Report'!AP612</f>
        <v>0</v>
      </c>
      <c r="L616" s="106">
        <f>'Detailed Report'!AU612/1.14</f>
        <v>0</v>
      </c>
      <c r="M616" s="106">
        <f>'Detailed Report'!AU612-L616</f>
        <v>0</v>
      </c>
      <c r="N616" s="110">
        <f>'Detailed Report'!AW612</f>
        <v>200.75299999999999</v>
      </c>
      <c r="O616" s="111">
        <f t="shared" si="55"/>
        <v>34.04525000000001</v>
      </c>
      <c r="P616" s="110">
        <f>'Detailed Report'!AM612</f>
        <v>0</v>
      </c>
      <c r="Q616" s="110">
        <f>'Detailed Report'!AN612</f>
        <v>0</v>
      </c>
      <c r="R616" s="110">
        <f>'Detailed Report'!AU612/1.14</f>
        <v>0</v>
      </c>
      <c r="S616" s="110">
        <f>'Detailed Report'!AU612-'........... - Otlob'!R616</f>
        <v>0</v>
      </c>
    </row>
    <row r="617" spans="1:19" ht="14.45" customHeight="1" x14ac:dyDescent="0.25">
      <c r="A617" s="105">
        <f>+IF(B617="","",SUBTOTAL(3,B$8:B617))</f>
        <v>610</v>
      </c>
      <c r="B617" s="106" t="str">
        <f>'Detailed Report'!O613</f>
        <v>Fuddruckers - New Maadi</v>
      </c>
      <c r="C617" s="107">
        <f>TRUNC('Detailed Report'!Q613,0)</f>
        <v>46043</v>
      </c>
      <c r="D617" s="108">
        <f>'Detailed Report'!P613</f>
        <v>3411703623</v>
      </c>
      <c r="E617" s="106" t="str">
        <f>'Detailed Report'!S613</f>
        <v>Successful</v>
      </c>
      <c r="F617" s="109">
        <f>IF(E617=$E$6,('Detailed Report'!Y613),IF(E617=$E$5,(0),0))</f>
        <v>691.61</v>
      </c>
      <c r="G617" s="106">
        <f>IF(E617=$E$6,('Detailed Report'!AQ613),IF(E617=$E$5,('Detailed Report'!AW613),0))</f>
        <v>606.67543999999998</v>
      </c>
      <c r="H617" s="106">
        <f>'Detailed Report'!AS613</f>
        <v>151.66886</v>
      </c>
      <c r="I617" s="106">
        <f>'Detailed Report'!AT613</f>
        <v>21.233640399999999</v>
      </c>
      <c r="J617" s="106">
        <f>'Detailed Report'!AO613</f>
        <v>12.103175</v>
      </c>
      <c r="K617" s="106">
        <f>'Detailed Report'!AP613</f>
        <v>1.6944444999999999</v>
      </c>
      <c r="L617" s="106">
        <f>'Detailed Report'!AU613/1.14</f>
        <v>0</v>
      </c>
      <c r="M617" s="106">
        <f>'Detailed Report'!AU613-L617</f>
        <v>0</v>
      </c>
      <c r="N617" s="110">
        <f>'Detailed Report'!AW613</f>
        <v>504.91</v>
      </c>
      <c r="O617" s="111">
        <f t="shared" si="55"/>
        <v>101.76543999999996</v>
      </c>
      <c r="P617" s="110">
        <f>'Detailed Report'!AM613</f>
        <v>0</v>
      </c>
      <c r="Q617" s="110">
        <f>'Detailed Report'!AN613</f>
        <v>0</v>
      </c>
      <c r="R617" s="110">
        <f>'Detailed Report'!AU613/1.14</f>
        <v>0</v>
      </c>
      <c r="S617" s="110">
        <f>'Detailed Report'!AU613-'........... - Otlob'!R617</f>
        <v>0</v>
      </c>
    </row>
    <row r="618" spans="1:19" ht="14.45" customHeight="1" x14ac:dyDescent="0.25">
      <c r="A618" s="105">
        <f>+IF(B618="","",SUBTOTAL(3,B$8:B618))</f>
        <v>611</v>
      </c>
      <c r="B618" s="106" t="str">
        <f>'Detailed Report'!O614</f>
        <v>Fuddruckers - New Maadi</v>
      </c>
      <c r="C618" s="107">
        <f>TRUNC('Detailed Report'!Q614,0)</f>
        <v>46043</v>
      </c>
      <c r="D618" s="108">
        <f>'Detailed Report'!P614</f>
        <v>3411735976</v>
      </c>
      <c r="E618" s="106" t="str">
        <f>'Detailed Report'!S614</f>
        <v>Successful</v>
      </c>
      <c r="F618" s="109">
        <f>IF(E618=$E$6,('Detailed Report'!Y614),IF(E618=$E$5,(0),0))</f>
        <v>1088.93</v>
      </c>
      <c r="G618" s="106">
        <f>IF(E618=$E$6,('Detailed Report'!AQ614),IF(E618=$E$5,('Detailed Report'!AW614),0))</f>
        <v>955.20174999999995</v>
      </c>
      <c r="H618" s="106">
        <f>'Detailed Report'!AS614</f>
        <v>238.80044000000001</v>
      </c>
      <c r="I618" s="106">
        <f>'Detailed Report'!AT614</f>
        <v>33.432061599999997</v>
      </c>
      <c r="J618" s="106">
        <f>'Detailed Report'!AO614</f>
        <v>0</v>
      </c>
      <c r="K618" s="106">
        <f>'Detailed Report'!AP614</f>
        <v>0</v>
      </c>
      <c r="L618" s="106">
        <f>'Detailed Report'!AU614/1.14</f>
        <v>0</v>
      </c>
      <c r="M618" s="106">
        <f>'Detailed Report'!AU614-L618</f>
        <v>0</v>
      </c>
      <c r="N618" s="110">
        <f>'Detailed Report'!AW614</f>
        <v>782.49699999999996</v>
      </c>
      <c r="O618" s="111">
        <f t="shared" si="55"/>
        <v>172.70474999999999</v>
      </c>
      <c r="P618" s="110">
        <f>'Detailed Report'!AM614</f>
        <v>30</v>
      </c>
      <c r="Q618" s="110">
        <f>'Detailed Report'!AN614</f>
        <v>4.2</v>
      </c>
      <c r="R618" s="110">
        <f>'Detailed Report'!AU614/1.14</f>
        <v>0</v>
      </c>
      <c r="S618" s="110">
        <f>'Detailed Report'!AU614-'........... - Otlob'!R618</f>
        <v>0</v>
      </c>
    </row>
    <row r="619" spans="1:19" ht="14.45" customHeight="1" x14ac:dyDescent="0.25">
      <c r="A619" s="105">
        <f>+IF(B619="","",SUBTOTAL(3,B$8:B619))</f>
        <v>612</v>
      </c>
      <c r="B619" s="106" t="str">
        <f>'Detailed Report'!O615</f>
        <v>Fuddruckers - New Maadi</v>
      </c>
      <c r="C619" s="107">
        <f>TRUNC('Detailed Report'!Q615,0)</f>
        <v>46043</v>
      </c>
      <c r="D619" s="108">
        <f>'Detailed Report'!P615</f>
        <v>3411769583</v>
      </c>
      <c r="E619" s="106" t="str">
        <f>'Detailed Report'!S615</f>
        <v>Successful</v>
      </c>
      <c r="F619" s="109">
        <f>IF(E619=$E$6,('Detailed Report'!Y615),IF(E619=$E$5,(0),0))</f>
        <v>1094.92</v>
      </c>
      <c r="G619" s="106">
        <f>IF(E619=$E$6,('Detailed Report'!AQ615),IF(E619=$E$5,('Detailed Report'!AW615),0))</f>
        <v>960.45614</v>
      </c>
      <c r="H619" s="106">
        <f>'Detailed Report'!AS615</f>
        <v>240.11403999999999</v>
      </c>
      <c r="I619" s="106">
        <f>'Detailed Report'!AT615</f>
        <v>33.615965600000003</v>
      </c>
      <c r="J619" s="106">
        <f>'Detailed Report'!AO615</f>
        <v>19.161100000000001</v>
      </c>
      <c r="K619" s="106">
        <f>'Detailed Report'!AP615</f>
        <v>2.6825540000000001</v>
      </c>
      <c r="L619" s="106">
        <f>'Detailed Report'!AU615/1.14</f>
        <v>26.307017543859651</v>
      </c>
      <c r="M619" s="106">
        <f>'Detailed Report'!AU615-L619</f>
        <v>3.6829824561403477</v>
      </c>
      <c r="N619" s="110">
        <f>'Detailed Report'!AW615</f>
        <v>769.35599999999999</v>
      </c>
      <c r="O619" s="111">
        <f t="shared" si="55"/>
        <v>191.10014000000001</v>
      </c>
      <c r="P619" s="110">
        <f>'Detailed Report'!AM615</f>
        <v>0</v>
      </c>
      <c r="Q619" s="110">
        <f>'Detailed Report'!AN615</f>
        <v>0</v>
      </c>
      <c r="R619" s="110">
        <f>'Detailed Report'!AU615/1.14</f>
        <v>26.307017543859651</v>
      </c>
      <c r="S619" s="110">
        <f>'Detailed Report'!AU615-'........... - Otlob'!R619</f>
        <v>3.6829824561403477</v>
      </c>
    </row>
    <row r="620" spans="1:19" ht="14.45" customHeight="1" x14ac:dyDescent="0.25">
      <c r="A620" s="105">
        <f>+IF(B620="","",SUBTOTAL(3,B$8:B620))</f>
        <v>613</v>
      </c>
      <c r="B620" s="106" t="str">
        <f>'Detailed Report'!O616</f>
        <v>Fuddruckers - New Maadi</v>
      </c>
      <c r="C620" s="107">
        <f>TRUNC('Detailed Report'!Q616,0)</f>
        <v>46043</v>
      </c>
      <c r="D620" s="108">
        <f>'Detailed Report'!P616</f>
        <v>3411780181</v>
      </c>
      <c r="E620" s="106" t="str">
        <f>'Detailed Report'!S616</f>
        <v>Successful</v>
      </c>
      <c r="F620" s="109">
        <f>IF(E620=$E$6,('Detailed Report'!Y616),IF(E620=$E$5,(0),0))</f>
        <v>783.67</v>
      </c>
      <c r="G620" s="106">
        <f>IF(E620=$E$6,('Detailed Report'!AQ616),IF(E620=$E$5,('Detailed Report'!AW616),0))</f>
        <v>687.42981999999995</v>
      </c>
      <c r="H620" s="106">
        <f>'Detailed Report'!AS616</f>
        <v>171.85746</v>
      </c>
      <c r="I620" s="106">
        <f>'Detailed Report'!AT616</f>
        <v>24.060044399999999</v>
      </c>
      <c r="J620" s="106">
        <f>'Detailed Report'!AO616</f>
        <v>13.714225000000001</v>
      </c>
      <c r="K620" s="106">
        <f>'Detailed Report'!AP616</f>
        <v>1.9199915000000001</v>
      </c>
      <c r="L620" s="106">
        <f>'Detailed Report'!AU616/1.14</f>
        <v>26.307017543859651</v>
      </c>
      <c r="M620" s="106">
        <f>'Detailed Report'!AU616-L620</f>
        <v>3.6829824561403477</v>
      </c>
      <c r="N620" s="110">
        <f>'Detailed Report'!AW616</f>
        <v>542.12800000000004</v>
      </c>
      <c r="O620" s="111">
        <f t="shared" si="55"/>
        <v>145.30181999999991</v>
      </c>
      <c r="P620" s="110">
        <f>'Detailed Report'!AM616</f>
        <v>0</v>
      </c>
      <c r="Q620" s="110">
        <f>'Detailed Report'!AN616</f>
        <v>0</v>
      </c>
      <c r="R620" s="110">
        <f>'Detailed Report'!AU616/1.14</f>
        <v>26.307017543859651</v>
      </c>
      <c r="S620" s="110">
        <f>'Detailed Report'!AU616-'........... - Otlob'!R620</f>
        <v>3.6829824561403477</v>
      </c>
    </row>
    <row r="621" spans="1:19" ht="14.45" customHeight="1" x14ac:dyDescent="0.25">
      <c r="A621" s="105">
        <f>+IF(B621="","",SUBTOTAL(3,B$8:B621))</f>
        <v>614</v>
      </c>
      <c r="B621" s="106" t="str">
        <f>'Detailed Report'!O617</f>
        <v>Fuddruckers - New Maadi</v>
      </c>
      <c r="C621" s="107">
        <f>TRUNC('Detailed Report'!Q617,0)</f>
        <v>46043</v>
      </c>
      <c r="D621" s="108">
        <f>'Detailed Report'!P617</f>
        <v>3411840975</v>
      </c>
      <c r="E621" s="106" t="str">
        <f>'Detailed Report'!S617</f>
        <v>Successful</v>
      </c>
      <c r="F621" s="109">
        <f>IF(E621=$E$6,('Detailed Report'!Y617),IF(E621=$E$5,(0),0))</f>
        <v>352</v>
      </c>
      <c r="G621" s="106">
        <f>IF(E621=$E$6,('Detailed Report'!AQ617),IF(E621=$E$5,('Detailed Report'!AW617),0))</f>
        <v>308.77193</v>
      </c>
      <c r="H621" s="106">
        <f>'Detailed Report'!AS617</f>
        <v>77.192980000000006</v>
      </c>
      <c r="I621" s="106">
        <f>'Detailed Report'!AT617</f>
        <v>10.807017200000001</v>
      </c>
      <c r="J621" s="106">
        <f>'Detailed Report'!AO617</f>
        <v>6.16</v>
      </c>
      <c r="K621" s="106">
        <f>'Detailed Report'!AP617</f>
        <v>0.86240000000000006</v>
      </c>
      <c r="L621" s="106">
        <f>'Detailed Report'!AU617/1.14</f>
        <v>25.42982456140351</v>
      </c>
      <c r="M621" s="106">
        <f>'Detailed Report'!AU617-L621</f>
        <v>3.5601754385964881</v>
      </c>
      <c r="N621" s="110">
        <f>'Detailed Report'!AW617</f>
        <v>227.988</v>
      </c>
      <c r="O621" s="111">
        <f t="shared" si="55"/>
        <v>80.783929999999998</v>
      </c>
      <c r="P621" s="110">
        <f>'Detailed Report'!AM617</f>
        <v>0</v>
      </c>
      <c r="Q621" s="110">
        <f>'Detailed Report'!AN617</f>
        <v>0</v>
      </c>
      <c r="R621" s="110">
        <f>'Detailed Report'!AU617/1.14</f>
        <v>25.42982456140351</v>
      </c>
      <c r="S621" s="110">
        <f>'Detailed Report'!AU617-'........... - Otlob'!R621</f>
        <v>3.5601754385964881</v>
      </c>
    </row>
    <row r="622" spans="1:19" ht="14.45" customHeight="1" x14ac:dyDescent="0.25">
      <c r="A622" s="105">
        <f>+IF(B622="","",SUBTOTAL(3,B$8:B622))</f>
        <v>615</v>
      </c>
      <c r="B622" s="106" t="str">
        <f>'Detailed Report'!O618</f>
        <v>Fuddruckers - City Stars</v>
      </c>
      <c r="C622" s="107">
        <f>TRUNC('Detailed Report'!Q618,0)</f>
        <v>46043</v>
      </c>
      <c r="D622" s="108">
        <f>'Detailed Report'!P618</f>
        <v>3411853722</v>
      </c>
      <c r="E622" s="106" t="str">
        <f>'Detailed Report'!S618</f>
        <v>Successful</v>
      </c>
      <c r="F622" s="109">
        <f>IF(E622=$E$6,('Detailed Report'!Y618),IF(E622=$E$5,(0),0))</f>
        <v>355.99</v>
      </c>
      <c r="G622" s="106">
        <f>IF(E622=$E$6,('Detailed Report'!AQ618),IF(E622=$E$5,('Detailed Report'!AW618),0))</f>
        <v>312.27193</v>
      </c>
      <c r="H622" s="106">
        <f>'Detailed Report'!AS618</f>
        <v>78.067980000000006</v>
      </c>
      <c r="I622" s="106">
        <f>'Detailed Report'!AT618</f>
        <v>10.929517199999999</v>
      </c>
      <c r="J622" s="106">
        <f>'Detailed Report'!AO618</f>
        <v>0</v>
      </c>
      <c r="K622" s="106">
        <f>'Detailed Report'!AP618</f>
        <v>0</v>
      </c>
      <c r="L622" s="106">
        <f>'Detailed Report'!AU618/1.14</f>
        <v>0</v>
      </c>
      <c r="M622" s="106">
        <f>'Detailed Report'!AU618-L622</f>
        <v>0</v>
      </c>
      <c r="N622" s="110">
        <f>'Detailed Report'!AW618</f>
        <v>266.99299999999999</v>
      </c>
      <c r="O622" s="111">
        <f t="shared" si="55"/>
        <v>45.278930000000003</v>
      </c>
      <c r="P622" s="110">
        <f>'Detailed Report'!AM618</f>
        <v>0</v>
      </c>
      <c r="Q622" s="110">
        <f>'Detailed Report'!AN618</f>
        <v>0</v>
      </c>
      <c r="R622" s="110">
        <f>'Detailed Report'!AU618/1.14</f>
        <v>0</v>
      </c>
      <c r="S622" s="110">
        <f>'Detailed Report'!AU618-'........... - Otlob'!R622</f>
        <v>0</v>
      </c>
    </row>
    <row r="623" spans="1:19" ht="14.45" customHeight="1" x14ac:dyDescent="0.25">
      <c r="A623" s="105">
        <f>+IF(B623="","",SUBTOTAL(3,B$8:B623))</f>
        <v>616</v>
      </c>
      <c r="B623" s="106" t="str">
        <f>'Detailed Report'!O619</f>
        <v>Fuddruckers - City Stars</v>
      </c>
      <c r="C623" s="107">
        <f>TRUNC('Detailed Report'!Q619,0)</f>
        <v>46043</v>
      </c>
      <c r="D623" s="108">
        <f>'Detailed Report'!P619</f>
        <v>3411854639</v>
      </c>
      <c r="E623" s="106" t="str">
        <f>'Detailed Report'!S619</f>
        <v>Successful</v>
      </c>
      <c r="F623" s="109">
        <f>IF(E623=$E$6,('Detailed Report'!Y619),IF(E623=$E$5,(0),0))</f>
        <v>275.99</v>
      </c>
      <c r="G623" s="106">
        <f>IF(E623=$E$6,('Detailed Report'!AQ619),IF(E623=$E$5,('Detailed Report'!AW619),0))</f>
        <v>242.09648999999999</v>
      </c>
      <c r="H623" s="106">
        <f>'Detailed Report'!AS619</f>
        <v>60.524120000000003</v>
      </c>
      <c r="I623" s="106">
        <f>'Detailed Report'!AT619</f>
        <v>8.4733768000000005</v>
      </c>
      <c r="J623" s="106">
        <f>'Detailed Report'!AO619</f>
        <v>4.8298249999999996</v>
      </c>
      <c r="K623" s="106">
        <f>'Detailed Report'!AP619</f>
        <v>0.67617550000000004</v>
      </c>
      <c r="L623" s="106">
        <f>'Detailed Report'!AU619/1.14</f>
        <v>26.307017543859651</v>
      </c>
      <c r="M623" s="106">
        <f>'Detailed Report'!AU619-L623</f>
        <v>3.6829824561403477</v>
      </c>
      <c r="N623" s="110">
        <f>'Detailed Report'!AW619</f>
        <v>171.49700000000001</v>
      </c>
      <c r="O623" s="111">
        <f t="shared" si="55"/>
        <v>70.599489999999975</v>
      </c>
      <c r="P623" s="110">
        <f>'Detailed Report'!AM619</f>
        <v>0</v>
      </c>
      <c r="Q623" s="110">
        <f>'Detailed Report'!AN619</f>
        <v>0</v>
      </c>
      <c r="R623" s="110">
        <f>'Detailed Report'!AU619/1.14</f>
        <v>26.307017543859651</v>
      </c>
      <c r="S623" s="110">
        <f>'Detailed Report'!AU619-'........... - Otlob'!R623</f>
        <v>3.6829824561403477</v>
      </c>
    </row>
    <row r="624" spans="1:19" ht="14.45" customHeight="1" x14ac:dyDescent="0.25">
      <c r="A624" s="105">
        <f>+IF(B624="","",SUBTOTAL(3,B$8:B624))</f>
        <v>617</v>
      </c>
      <c r="B624" s="106" t="str">
        <f>'Detailed Report'!O620</f>
        <v>Fuddruckers - New Maadi</v>
      </c>
      <c r="C624" s="107">
        <f>TRUNC('Detailed Report'!Q620,0)</f>
        <v>46043</v>
      </c>
      <c r="D624" s="108">
        <f>'Detailed Report'!P620</f>
        <v>3411877449</v>
      </c>
      <c r="E624" s="106" t="str">
        <f>'Detailed Report'!S620</f>
        <v>Successful</v>
      </c>
      <c r="F624" s="109">
        <f>IF(E624=$E$6,('Detailed Report'!Y620),IF(E624=$E$5,(0),0))</f>
        <v>1152.03</v>
      </c>
      <c r="G624" s="106">
        <f>IF(E624=$E$6,('Detailed Report'!AQ620),IF(E624=$E$5,('Detailed Report'!AW620),0))</f>
        <v>1010.55263</v>
      </c>
      <c r="H624" s="106">
        <f>'Detailed Report'!AS620</f>
        <v>252.63816</v>
      </c>
      <c r="I624" s="106">
        <f>'Detailed Report'!AT620</f>
        <v>35.369342400000001</v>
      </c>
      <c r="J624" s="106">
        <f>'Detailed Report'!AO620</f>
        <v>0</v>
      </c>
      <c r="K624" s="106">
        <f>'Detailed Report'!AP620</f>
        <v>0</v>
      </c>
      <c r="L624" s="106">
        <f>'Detailed Report'!AU620/1.14</f>
        <v>26.307017543859651</v>
      </c>
      <c r="M624" s="106">
        <f>'Detailed Report'!AU620-L624</f>
        <v>3.6829824561403477</v>
      </c>
      <c r="N624" s="110">
        <f>'Detailed Report'!AW620</f>
        <v>834.03200000000004</v>
      </c>
      <c r="O624" s="111">
        <f t="shared" si="55"/>
        <v>176.52062999999998</v>
      </c>
      <c r="P624" s="110">
        <f>'Detailed Report'!AM620</f>
        <v>0</v>
      </c>
      <c r="Q624" s="110">
        <f>'Detailed Report'!AN620</f>
        <v>0</v>
      </c>
      <c r="R624" s="110">
        <f>'Detailed Report'!AU620/1.14</f>
        <v>26.307017543859651</v>
      </c>
      <c r="S624" s="110">
        <f>'Detailed Report'!AU620-'........... - Otlob'!R624</f>
        <v>3.6829824561403477</v>
      </c>
    </row>
    <row r="625" spans="1:19" ht="14.45" customHeight="1" x14ac:dyDescent="0.25">
      <c r="A625" s="105">
        <f>+IF(B625="","",SUBTOTAL(3,B$8:B625))</f>
        <v>618</v>
      </c>
      <c r="B625" s="106" t="str">
        <f>'Detailed Report'!O621</f>
        <v>Fuddruckers - New Maadi</v>
      </c>
      <c r="C625" s="107">
        <f>TRUNC('Detailed Report'!Q621,0)</f>
        <v>46043</v>
      </c>
      <c r="D625" s="108">
        <f>'Detailed Report'!P621</f>
        <v>3411890090</v>
      </c>
      <c r="E625" s="106" t="str">
        <f>'Detailed Report'!S621</f>
        <v>Successful</v>
      </c>
      <c r="F625" s="109">
        <f>IF(E625=$E$6,('Detailed Report'!Y621),IF(E625=$E$5,(0),0))</f>
        <v>542.99</v>
      </c>
      <c r="G625" s="106">
        <f>IF(E625=$E$6,('Detailed Report'!AQ621),IF(E625=$E$5,('Detailed Report'!AW621),0))</f>
        <v>476.30702000000002</v>
      </c>
      <c r="H625" s="106">
        <f>'Detailed Report'!AS621</f>
        <v>119.07675999999999</v>
      </c>
      <c r="I625" s="106">
        <f>'Detailed Report'!AT621</f>
        <v>16.670746399999999</v>
      </c>
      <c r="J625" s="106">
        <f>'Detailed Report'!AO621</f>
        <v>9.5023250000000008</v>
      </c>
      <c r="K625" s="106">
        <f>'Detailed Report'!AP621</f>
        <v>1.3303255</v>
      </c>
      <c r="L625" s="106">
        <f>'Detailed Report'!AU621/1.14</f>
        <v>0</v>
      </c>
      <c r="M625" s="106">
        <f>'Detailed Report'!AU621-L625</f>
        <v>0</v>
      </c>
      <c r="N625" s="110">
        <f>'Detailed Report'!AW621</f>
        <v>396.41</v>
      </c>
      <c r="O625" s="111">
        <f t="shared" si="55"/>
        <v>79.897019999999998</v>
      </c>
      <c r="P625" s="110">
        <f>'Detailed Report'!AM621</f>
        <v>0</v>
      </c>
      <c r="Q625" s="110">
        <f>'Detailed Report'!AN621</f>
        <v>0</v>
      </c>
      <c r="R625" s="110">
        <f>'Detailed Report'!AU621/1.14</f>
        <v>0</v>
      </c>
      <c r="S625" s="110">
        <f>'Detailed Report'!AU621-'........... - Otlob'!R625</f>
        <v>0</v>
      </c>
    </row>
    <row r="626" spans="1:19" ht="14.45" customHeight="1" x14ac:dyDescent="0.25">
      <c r="A626" s="105">
        <f>+IF(B626="","",SUBTOTAL(3,B$8:B626))</f>
        <v>619</v>
      </c>
      <c r="B626" s="106" t="str">
        <f>'Detailed Report'!O622</f>
        <v>Fuddruckers - New Maadi</v>
      </c>
      <c r="C626" s="107">
        <f>TRUNC('Detailed Report'!Q622,0)</f>
        <v>46043</v>
      </c>
      <c r="D626" s="108">
        <f>'Detailed Report'!P622</f>
        <v>3411964925</v>
      </c>
      <c r="E626" s="106" t="str">
        <f>'Detailed Report'!S622</f>
        <v>Successful</v>
      </c>
      <c r="F626" s="109">
        <f>IF(E626=$E$6,('Detailed Report'!Y622),IF(E626=$E$5,(0),0))</f>
        <v>769.99</v>
      </c>
      <c r="G626" s="106">
        <f>IF(E626=$E$6,('Detailed Report'!AQ622),IF(E626=$E$5,('Detailed Report'!AW622),0))</f>
        <v>675.42981999999995</v>
      </c>
      <c r="H626" s="106">
        <f>'Detailed Report'!AS622</f>
        <v>168.85746</v>
      </c>
      <c r="I626" s="106">
        <f>'Detailed Report'!AT622</f>
        <v>23.640044400000001</v>
      </c>
      <c r="J626" s="106">
        <f>'Detailed Report'!AO622</f>
        <v>13.474824999999999</v>
      </c>
      <c r="K626" s="106">
        <f>'Detailed Report'!AP622</f>
        <v>1.8864755</v>
      </c>
      <c r="L626" s="106">
        <f>'Detailed Report'!AU622/1.14</f>
        <v>26.307017543859651</v>
      </c>
      <c r="M626" s="106">
        <f>'Detailed Report'!AU622-L626</f>
        <v>3.6829824561403477</v>
      </c>
      <c r="N626" s="110">
        <f>'Detailed Report'!AW622</f>
        <v>532.14099999999996</v>
      </c>
      <c r="O626" s="111">
        <f t="shared" si="55"/>
        <v>143.28881999999999</v>
      </c>
      <c r="P626" s="110">
        <f>'Detailed Report'!AM622</f>
        <v>0</v>
      </c>
      <c r="Q626" s="110">
        <f>'Detailed Report'!AN622</f>
        <v>0</v>
      </c>
      <c r="R626" s="110">
        <f>'Detailed Report'!AU622/1.14</f>
        <v>26.307017543859651</v>
      </c>
      <c r="S626" s="110">
        <f>'Detailed Report'!AU622-'........... - Otlob'!R626</f>
        <v>3.6829824561403477</v>
      </c>
    </row>
    <row r="627" spans="1:19" ht="14.45" customHeight="1" x14ac:dyDescent="0.25">
      <c r="A627" s="105">
        <f>+IF(B627="","",SUBTOTAL(3,B$8:B627))</f>
        <v>620</v>
      </c>
      <c r="B627" s="106" t="str">
        <f>'Detailed Report'!O623</f>
        <v>Fuddruckers - Concord Plaza Mall</v>
      </c>
      <c r="C627" s="107">
        <f>TRUNC('Detailed Report'!Q623,0)</f>
        <v>46043</v>
      </c>
      <c r="D627" s="108">
        <f>'Detailed Report'!P623</f>
        <v>3412036290</v>
      </c>
      <c r="E627" s="106" t="str">
        <f>'Detailed Report'!S623</f>
        <v>Successful</v>
      </c>
      <c r="F627" s="109">
        <f>IF(E627=$E$6,('Detailed Report'!Y623),IF(E627=$E$5,(0),0))</f>
        <v>767.99</v>
      </c>
      <c r="G627" s="106">
        <f>IF(E627=$E$6,('Detailed Report'!AQ623),IF(E627=$E$5,('Detailed Report'!AW623),0))</f>
        <v>673.67543999999998</v>
      </c>
      <c r="H627" s="106">
        <f>'Detailed Report'!AS623</f>
        <v>168.41886</v>
      </c>
      <c r="I627" s="106">
        <f>'Detailed Report'!AT623</f>
        <v>23.578640400000001</v>
      </c>
      <c r="J627" s="106">
        <f>'Detailed Report'!AO623</f>
        <v>13.439825000000001</v>
      </c>
      <c r="K627" s="106">
        <f>'Detailed Report'!AP623</f>
        <v>1.8815755000000001</v>
      </c>
      <c r="L627" s="106">
        <f>'Detailed Report'!AU623/1.14</f>
        <v>28.938596491228076</v>
      </c>
      <c r="M627" s="106">
        <f>'Detailed Report'!AU623-L627</f>
        <v>4.0514035087719265</v>
      </c>
      <c r="N627" s="110">
        <f>'Detailed Report'!AW623</f>
        <v>527.68100000000004</v>
      </c>
      <c r="O627" s="111">
        <f t="shared" si="55"/>
        <v>145.99443999999994</v>
      </c>
      <c r="P627" s="110">
        <f>'Detailed Report'!AM623</f>
        <v>0</v>
      </c>
      <c r="Q627" s="110">
        <f>'Detailed Report'!AN623</f>
        <v>0</v>
      </c>
      <c r="R627" s="110">
        <f>'Detailed Report'!AU623/1.14</f>
        <v>28.938596491228076</v>
      </c>
      <c r="S627" s="110">
        <f>'Detailed Report'!AU623-'........... - Otlob'!R627</f>
        <v>4.0514035087719265</v>
      </c>
    </row>
    <row r="628" spans="1:19" ht="14.45" customHeight="1" x14ac:dyDescent="0.25">
      <c r="A628" s="105">
        <f>+IF(B628="","",SUBTOTAL(3,B$8:B628))</f>
        <v>621</v>
      </c>
      <c r="B628" s="106" t="str">
        <f>'Detailed Report'!O624</f>
        <v>Fuddruckers - New Maadi</v>
      </c>
      <c r="C628" s="107">
        <f>TRUNC('Detailed Report'!Q624,0)</f>
        <v>46043</v>
      </c>
      <c r="D628" s="108">
        <f>'Detailed Report'!P624</f>
        <v>3412091811</v>
      </c>
      <c r="E628" s="106" t="str">
        <f>'Detailed Report'!S624</f>
        <v>Successful</v>
      </c>
      <c r="F628" s="109">
        <f>IF(E628=$E$6,('Detailed Report'!Y624),IF(E628=$E$5,(0),0))</f>
        <v>471.57</v>
      </c>
      <c r="G628" s="106">
        <f>IF(E628=$E$6,('Detailed Report'!AQ624),IF(E628=$E$5,('Detailed Report'!AW624),0))</f>
        <v>413.65789000000001</v>
      </c>
      <c r="H628" s="106">
        <f>'Detailed Report'!AS624</f>
        <v>103.41446999999999</v>
      </c>
      <c r="I628" s="106">
        <f>'Detailed Report'!AT624</f>
        <v>14.478025799999999</v>
      </c>
      <c r="J628" s="106">
        <f>'Detailed Report'!AO624</f>
        <v>8.2524750000000004</v>
      </c>
      <c r="K628" s="106">
        <f>'Detailed Report'!AP624</f>
        <v>1.1553465000000001</v>
      </c>
      <c r="L628" s="106">
        <f>'Detailed Report'!AU624/1.14</f>
        <v>26.307017543859651</v>
      </c>
      <c r="M628" s="106">
        <f>'Detailed Report'!AU624-L628</f>
        <v>3.6829824561403477</v>
      </c>
      <c r="N628" s="110">
        <f>'Detailed Report'!AW624</f>
        <v>314.27999999999997</v>
      </c>
      <c r="O628" s="111">
        <f t="shared" si="55"/>
        <v>99.377890000000036</v>
      </c>
      <c r="P628" s="110">
        <f>'Detailed Report'!AM624</f>
        <v>0</v>
      </c>
      <c r="Q628" s="110">
        <f>'Detailed Report'!AN624</f>
        <v>0</v>
      </c>
      <c r="R628" s="110">
        <f>'Detailed Report'!AU624/1.14</f>
        <v>26.307017543859651</v>
      </c>
      <c r="S628" s="110">
        <f>'Detailed Report'!AU624-'........... - Otlob'!R628</f>
        <v>3.6829824561403477</v>
      </c>
    </row>
    <row r="629" spans="1:19" ht="14.45" customHeight="1" x14ac:dyDescent="0.25">
      <c r="A629" s="105">
        <f>+IF(B629="","",SUBTOTAL(3,B$8:B629))</f>
        <v>622</v>
      </c>
      <c r="B629" s="106" t="str">
        <f>'Detailed Report'!O625</f>
        <v>Fuddruckers - City Stars</v>
      </c>
      <c r="C629" s="107">
        <f>TRUNC('Detailed Report'!Q625,0)</f>
        <v>46043</v>
      </c>
      <c r="D629" s="108">
        <f>'Detailed Report'!P625</f>
        <v>3412116165</v>
      </c>
      <c r="E629" s="106" t="str">
        <f>'Detailed Report'!S625</f>
        <v>Successful</v>
      </c>
      <c r="F629" s="109">
        <f>IF(E629=$E$6,('Detailed Report'!Y625),IF(E629=$E$5,(0),0))</f>
        <v>319.26</v>
      </c>
      <c r="G629" s="106">
        <f>IF(E629=$E$6,('Detailed Report'!AQ625),IF(E629=$E$5,('Detailed Report'!AW625),0))</f>
        <v>280.05263000000002</v>
      </c>
      <c r="H629" s="106">
        <f>'Detailed Report'!AS625</f>
        <v>70.013159999999999</v>
      </c>
      <c r="I629" s="106">
        <f>'Detailed Report'!AT625</f>
        <v>9.8018424</v>
      </c>
      <c r="J629" s="106">
        <f>'Detailed Report'!AO625</f>
        <v>5.5870499999999996</v>
      </c>
      <c r="K629" s="106">
        <f>'Detailed Report'!AP625</f>
        <v>0.78218699999999997</v>
      </c>
      <c r="L629" s="106">
        <f>'Detailed Report'!AU625/1.14</f>
        <v>25.42982456140351</v>
      </c>
      <c r="M629" s="106">
        <f>'Detailed Report'!AU625-L629</f>
        <v>3.5601754385964881</v>
      </c>
      <c r="N629" s="110">
        <f>'Detailed Report'!AW625</f>
        <v>204.08600000000001</v>
      </c>
      <c r="O629" s="111">
        <f t="shared" si="55"/>
        <v>75.966630000000009</v>
      </c>
      <c r="P629" s="110">
        <f>'Detailed Report'!AM625</f>
        <v>0</v>
      </c>
      <c r="Q629" s="110">
        <f>'Detailed Report'!AN625</f>
        <v>0</v>
      </c>
      <c r="R629" s="110">
        <f>'Detailed Report'!AU625/1.14</f>
        <v>25.42982456140351</v>
      </c>
      <c r="S629" s="110">
        <f>'Detailed Report'!AU625-'........... - Otlob'!R629</f>
        <v>3.5601754385964881</v>
      </c>
    </row>
    <row r="630" spans="1:19" ht="14.45" customHeight="1" x14ac:dyDescent="0.25">
      <c r="A630" s="105">
        <f>+IF(B630="","",SUBTOTAL(3,B$8:B630))</f>
        <v>623</v>
      </c>
      <c r="B630" s="106" t="str">
        <f>'Detailed Report'!O626</f>
        <v>Fuddruckers - New Maadi</v>
      </c>
      <c r="C630" s="107">
        <f>TRUNC('Detailed Report'!Q626,0)</f>
        <v>46043</v>
      </c>
      <c r="D630" s="108">
        <f>'Detailed Report'!P626</f>
        <v>3412116720</v>
      </c>
      <c r="E630" s="106" t="str">
        <f>'Detailed Report'!S626</f>
        <v>Successful</v>
      </c>
      <c r="F630" s="109">
        <f>IF(E630=$E$6,('Detailed Report'!Y626),IF(E630=$E$5,(0),0))</f>
        <v>563.97</v>
      </c>
      <c r="G630" s="106">
        <f>IF(E630=$E$6,('Detailed Report'!AQ626),IF(E630=$E$5,('Detailed Report'!AW626),0))</f>
        <v>494.71053000000001</v>
      </c>
      <c r="H630" s="106">
        <f>'Detailed Report'!AS626</f>
        <v>123.67762999999999</v>
      </c>
      <c r="I630" s="106">
        <f>'Detailed Report'!AT626</f>
        <v>17.314868199999999</v>
      </c>
      <c r="J630" s="106">
        <f>'Detailed Report'!AO626</f>
        <v>9.8694749999999996</v>
      </c>
      <c r="K630" s="106">
        <f>'Detailed Report'!AP626</f>
        <v>1.3817265000000001</v>
      </c>
      <c r="L630" s="106">
        <f>'Detailed Report'!AU626/1.14</f>
        <v>25.42982456140351</v>
      </c>
      <c r="M630" s="106">
        <f>'Detailed Report'!AU626-L630</f>
        <v>3.5601754385964881</v>
      </c>
      <c r="N630" s="110">
        <f>'Detailed Report'!AW626</f>
        <v>382.73599999999999</v>
      </c>
      <c r="O630" s="111">
        <f t="shared" si="55"/>
        <v>111.97453000000002</v>
      </c>
      <c r="P630" s="110">
        <f>'Detailed Report'!AM626</f>
        <v>0</v>
      </c>
      <c r="Q630" s="110">
        <f>'Detailed Report'!AN626</f>
        <v>0</v>
      </c>
      <c r="R630" s="110">
        <f>'Detailed Report'!AU626/1.14</f>
        <v>25.42982456140351</v>
      </c>
      <c r="S630" s="110">
        <f>'Detailed Report'!AU626-'........... - Otlob'!R630</f>
        <v>3.5601754385964881</v>
      </c>
    </row>
    <row r="631" spans="1:19" ht="14.45" customHeight="1" x14ac:dyDescent="0.25">
      <c r="A631" s="105">
        <f>+IF(B631="","",SUBTOTAL(3,B$8:B631))</f>
        <v>624</v>
      </c>
      <c r="B631" s="106" t="str">
        <f>'Detailed Report'!O627</f>
        <v>Fuddruckers - Concord Plaza Mall</v>
      </c>
      <c r="C631" s="107">
        <f>TRUNC('Detailed Report'!Q627,0)</f>
        <v>46043</v>
      </c>
      <c r="D631" s="108">
        <f>'Detailed Report'!P627</f>
        <v>3412164302</v>
      </c>
      <c r="E631" s="106" t="str">
        <f>'Detailed Report'!S627</f>
        <v>Successful</v>
      </c>
      <c r="F631" s="109">
        <f>IF(E631=$E$6,('Detailed Report'!Y627),IF(E631=$E$5,(0),0))</f>
        <v>480.99</v>
      </c>
      <c r="G631" s="106">
        <f>IF(E631=$E$6,('Detailed Report'!AQ627),IF(E631=$E$5,('Detailed Report'!AW627),0))</f>
        <v>421.92104999999998</v>
      </c>
      <c r="H631" s="106">
        <f>'Detailed Report'!AS627</f>
        <v>105.48026</v>
      </c>
      <c r="I631" s="106">
        <f>'Detailed Report'!AT627</f>
        <v>14.7672364</v>
      </c>
      <c r="J631" s="106">
        <f>'Detailed Report'!AO627</f>
        <v>8.4173249999999999</v>
      </c>
      <c r="K631" s="106">
        <f>'Detailed Report'!AP627</f>
        <v>1.1784254999999999</v>
      </c>
      <c r="L631" s="106">
        <f>'Detailed Report'!AU627/1.14</f>
        <v>0</v>
      </c>
      <c r="M631" s="106">
        <f>'Detailed Report'!AU627-L631</f>
        <v>0</v>
      </c>
      <c r="N631" s="110">
        <f>'Detailed Report'!AW627</f>
        <v>351.14699999999999</v>
      </c>
      <c r="O631" s="111">
        <f t="shared" si="55"/>
        <v>70.774049999999988</v>
      </c>
      <c r="P631" s="110">
        <f>'Detailed Report'!AM627</f>
        <v>0</v>
      </c>
      <c r="Q631" s="110">
        <f>'Detailed Report'!AN627</f>
        <v>0</v>
      </c>
      <c r="R631" s="110">
        <f>'Detailed Report'!AU627/1.14</f>
        <v>0</v>
      </c>
      <c r="S631" s="110">
        <f>'Detailed Report'!AU627-'........... - Otlob'!R631</f>
        <v>0</v>
      </c>
    </row>
    <row r="632" spans="1:19" ht="14.45" customHeight="1" x14ac:dyDescent="0.25">
      <c r="A632" s="105">
        <f>+IF(B632="","",SUBTOTAL(3,B$8:B632))</f>
        <v>625</v>
      </c>
      <c r="B632" s="106" t="str">
        <f>'Detailed Report'!O628</f>
        <v>Fuddruckers - Concord Plaza Mall</v>
      </c>
      <c r="C632" s="107">
        <f>TRUNC('Detailed Report'!Q628,0)</f>
        <v>46043</v>
      </c>
      <c r="D632" s="108">
        <f>'Detailed Report'!P628</f>
        <v>3412216695</v>
      </c>
      <c r="E632" s="106" t="str">
        <f>'Detailed Report'!S628</f>
        <v>Successful</v>
      </c>
      <c r="F632" s="109">
        <f>IF(E632=$E$6,('Detailed Report'!Y628),IF(E632=$E$5,(0),0))</f>
        <v>999.97</v>
      </c>
      <c r="G632" s="106">
        <f>IF(E632=$E$6,('Detailed Report'!AQ628),IF(E632=$E$5,('Detailed Report'!AW628),0))</f>
        <v>877.16666999999995</v>
      </c>
      <c r="H632" s="106">
        <f>'Detailed Report'!AS628</f>
        <v>219.29167000000001</v>
      </c>
      <c r="I632" s="106">
        <f>'Detailed Report'!AT628</f>
        <v>30.700833800000002</v>
      </c>
      <c r="J632" s="106">
        <f>'Detailed Report'!AO628</f>
        <v>17.499475</v>
      </c>
      <c r="K632" s="106">
        <f>'Detailed Report'!AP628</f>
        <v>2.4499265000000001</v>
      </c>
      <c r="L632" s="106">
        <f>'Detailed Report'!AU628/1.14</f>
        <v>0</v>
      </c>
      <c r="M632" s="106">
        <f>'Detailed Report'!AU628-L632</f>
        <v>0</v>
      </c>
      <c r="N632" s="110">
        <f>'Detailed Report'!AW628</f>
        <v>730.02800000000002</v>
      </c>
      <c r="O632" s="111">
        <f t="shared" si="55"/>
        <v>147.13866999999993</v>
      </c>
      <c r="P632" s="110">
        <f>'Detailed Report'!AM628</f>
        <v>0</v>
      </c>
      <c r="Q632" s="110">
        <f>'Detailed Report'!AN628</f>
        <v>0</v>
      </c>
      <c r="R632" s="110">
        <f>'Detailed Report'!AU628/1.14</f>
        <v>0</v>
      </c>
      <c r="S632" s="110">
        <f>'Detailed Report'!AU628-'........... - Otlob'!R632</f>
        <v>0</v>
      </c>
    </row>
    <row r="633" spans="1:19" ht="14.45" customHeight="1" x14ac:dyDescent="0.25">
      <c r="A633" s="105">
        <f>+IF(B633="","",SUBTOTAL(3,B$8:B633))</f>
        <v>626</v>
      </c>
      <c r="B633" s="106" t="str">
        <f>'Detailed Report'!O629</f>
        <v>Fuddruckers - New Maadi</v>
      </c>
      <c r="C633" s="107">
        <f>TRUNC('Detailed Report'!Q629,0)</f>
        <v>46043</v>
      </c>
      <c r="D633" s="108">
        <f>'Detailed Report'!P629</f>
        <v>3412229397</v>
      </c>
      <c r="E633" s="106" t="str">
        <f>'Detailed Report'!S629</f>
        <v>Successful</v>
      </c>
      <c r="F633" s="109">
        <f>IF(E633=$E$6,('Detailed Report'!Y629),IF(E633=$E$5,(0),0))</f>
        <v>368.68</v>
      </c>
      <c r="G633" s="106">
        <f>IF(E633=$E$6,('Detailed Report'!AQ629),IF(E633=$E$5,('Detailed Report'!AW629),0))</f>
        <v>323.40350999999998</v>
      </c>
      <c r="H633" s="106">
        <f>'Detailed Report'!AS629</f>
        <v>80.850880000000004</v>
      </c>
      <c r="I633" s="106">
        <f>'Detailed Report'!AT629</f>
        <v>11.3191232</v>
      </c>
      <c r="J633" s="106">
        <f>'Detailed Report'!AO629</f>
        <v>6.4519000000000002</v>
      </c>
      <c r="K633" s="106">
        <f>'Detailed Report'!AP629</f>
        <v>0.90326600000000001</v>
      </c>
      <c r="L633" s="106">
        <f>'Detailed Report'!AU629/1.14</f>
        <v>25.42982456140351</v>
      </c>
      <c r="M633" s="106">
        <f>'Detailed Report'!AU629-L633</f>
        <v>3.5601754385964881</v>
      </c>
      <c r="N633" s="110">
        <f>'Detailed Report'!AW629</f>
        <v>240.16499999999999</v>
      </c>
      <c r="O633" s="111">
        <f t="shared" si="55"/>
        <v>83.238509999999991</v>
      </c>
      <c r="P633" s="110">
        <f>'Detailed Report'!AM629</f>
        <v>0</v>
      </c>
      <c r="Q633" s="110">
        <f>'Detailed Report'!AN629</f>
        <v>0</v>
      </c>
      <c r="R633" s="110">
        <f>'Detailed Report'!AU629/1.14</f>
        <v>25.42982456140351</v>
      </c>
      <c r="S633" s="110">
        <f>'Detailed Report'!AU629-'........... - Otlob'!R633</f>
        <v>3.5601754385964881</v>
      </c>
    </row>
    <row r="634" spans="1:19" ht="14.45" customHeight="1" x14ac:dyDescent="0.25">
      <c r="A634" s="105">
        <f>+IF(B634="","",SUBTOTAL(3,B$8:B634))</f>
        <v>627</v>
      </c>
      <c r="B634" s="106" t="str">
        <f>'Detailed Report'!O630</f>
        <v>Fuddruckers - Concord Plaza Mall</v>
      </c>
      <c r="C634" s="107">
        <f>TRUNC('Detailed Report'!Q630,0)</f>
        <v>46043</v>
      </c>
      <c r="D634" s="108">
        <f>'Detailed Report'!P630</f>
        <v>3412232481</v>
      </c>
      <c r="E634" s="106" t="str">
        <f>'Detailed Report'!S630</f>
        <v>Successful</v>
      </c>
      <c r="F634" s="109">
        <f>IF(E634=$E$6,('Detailed Report'!Y630),IF(E634=$E$5,(0),0))</f>
        <v>596.85</v>
      </c>
      <c r="G634" s="106">
        <f>IF(E634=$E$6,('Detailed Report'!AQ630),IF(E634=$E$5,('Detailed Report'!AW630),0))</f>
        <v>523.55263000000002</v>
      </c>
      <c r="H634" s="106">
        <f>'Detailed Report'!AS630</f>
        <v>130.88816</v>
      </c>
      <c r="I634" s="106">
        <f>'Detailed Report'!AT630</f>
        <v>18.324342399999999</v>
      </c>
      <c r="J634" s="106">
        <f>'Detailed Report'!AO630</f>
        <v>10.444875</v>
      </c>
      <c r="K634" s="106">
        <f>'Detailed Report'!AP630</f>
        <v>1.4622824999999999</v>
      </c>
      <c r="L634" s="106">
        <f>'Detailed Report'!AU630/1.14</f>
        <v>30.692982456140356</v>
      </c>
      <c r="M634" s="106">
        <f>'Detailed Report'!AU630-L634</f>
        <v>4.2970175438596456</v>
      </c>
      <c r="N634" s="110">
        <f>'Detailed Report'!AW630</f>
        <v>366.54</v>
      </c>
      <c r="O634" s="111">
        <f t="shared" si="55"/>
        <v>157.01263</v>
      </c>
      <c r="P634" s="110">
        <f>'Detailed Report'!AM630</f>
        <v>30</v>
      </c>
      <c r="Q634" s="110">
        <f>'Detailed Report'!AN630</f>
        <v>4.2</v>
      </c>
      <c r="R634" s="110">
        <f>'Detailed Report'!AU630/1.14</f>
        <v>30.692982456140356</v>
      </c>
      <c r="S634" s="110">
        <f>'Detailed Report'!AU630-'........... - Otlob'!R634</f>
        <v>4.2970175438596456</v>
      </c>
    </row>
    <row r="635" spans="1:19" ht="14.45" customHeight="1" x14ac:dyDescent="0.25">
      <c r="A635" s="105">
        <f>+IF(B635="","",SUBTOTAL(3,B$8:B635))</f>
        <v>628</v>
      </c>
      <c r="B635" s="106" t="str">
        <f>'Detailed Report'!O631</f>
        <v>Fuddruckers - Concord Plaza Mall</v>
      </c>
      <c r="C635" s="107">
        <f>TRUNC('Detailed Report'!Q631,0)</f>
        <v>46043</v>
      </c>
      <c r="D635" s="108">
        <f>'Detailed Report'!P631</f>
        <v>3412269316</v>
      </c>
      <c r="E635" s="106" t="str">
        <f>'Detailed Report'!S631</f>
        <v>Successful</v>
      </c>
      <c r="F635" s="109">
        <f>IF(E635=$E$6,('Detailed Report'!Y631),IF(E635=$E$5,(0),0))</f>
        <v>296.58</v>
      </c>
      <c r="G635" s="106">
        <f>IF(E635=$E$6,('Detailed Report'!AQ631),IF(E635=$E$5,('Detailed Report'!AW631),0))</f>
        <v>260.15789000000001</v>
      </c>
      <c r="H635" s="106">
        <f>'Detailed Report'!AS631</f>
        <v>65.039469999999994</v>
      </c>
      <c r="I635" s="106">
        <f>'Detailed Report'!AT631</f>
        <v>9.1055258000000006</v>
      </c>
      <c r="J635" s="106">
        <f>'Detailed Report'!AO631</f>
        <v>5.19015</v>
      </c>
      <c r="K635" s="106">
        <f>'Detailed Report'!AP631</f>
        <v>0.72662099999999996</v>
      </c>
      <c r="L635" s="106">
        <f>'Detailed Report'!AU631/1.14</f>
        <v>29.815789473684216</v>
      </c>
      <c r="M635" s="106">
        <f>'Detailed Report'!AU631-L635</f>
        <v>4.174210526315786</v>
      </c>
      <c r="N635" s="110">
        <f>'Detailed Report'!AW631</f>
        <v>182.52799999999999</v>
      </c>
      <c r="O635" s="111">
        <f t="shared" si="55"/>
        <v>77.629890000000017</v>
      </c>
      <c r="P635" s="110">
        <f>'Detailed Report'!AM631</f>
        <v>0</v>
      </c>
      <c r="Q635" s="110">
        <f>'Detailed Report'!AN631</f>
        <v>0</v>
      </c>
      <c r="R635" s="110">
        <f>'Detailed Report'!AU631/1.14</f>
        <v>29.815789473684216</v>
      </c>
      <c r="S635" s="110">
        <f>'Detailed Report'!AU631-'........... - Otlob'!R635</f>
        <v>4.174210526315786</v>
      </c>
    </row>
    <row r="636" spans="1:19" ht="14.45" customHeight="1" x14ac:dyDescent="0.25">
      <c r="A636" s="105">
        <f>+IF(B636="","",SUBTOTAL(3,B$8:B636))</f>
        <v>629</v>
      </c>
      <c r="B636" s="106" t="str">
        <f>'Detailed Report'!O632</f>
        <v>Fuddruckers - Concord Plaza Mall</v>
      </c>
      <c r="C636" s="107">
        <f>TRUNC('Detailed Report'!Q632,0)</f>
        <v>46043</v>
      </c>
      <c r="D636" s="108">
        <f>'Detailed Report'!P632</f>
        <v>3412319263</v>
      </c>
      <c r="E636" s="106" t="str">
        <f>'Detailed Report'!S632</f>
        <v>Successful</v>
      </c>
      <c r="F636" s="109">
        <f>IF(E636=$E$6,('Detailed Report'!Y632),IF(E636=$E$5,(0),0))</f>
        <v>264.99</v>
      </c>
      <c r="G636" s="106">
        <f>IF(E636=$E$6,('Detailed Report'!AQ632),IF(E636=$E$5,('Detailed Report'!AW632),0))</f>
        <v>232.44737000000001</v>
      </c>
      <c r="H636" s="106">
        <f>'Detailed Report'!AS632</f>
        <v>58.111840000000001</v>
      </c>
      <c r="I636" s="106">
        <f>'Detailed Report'!AT632</f>
        <v>8.1356576</v>
      </c>
      <c r="J636" s="106">
        <f>'Detailed Report'!AO632</f>
        <v>4.6373249999999997</v>
      </c>
      <c r="K636" s="106">
        <f>'Detailed Report'!AP632</f>
        <v>0.64922550000000001</v>
      </c>
      <c r="L636" s="106">
        <f>'Detailed Report'!AU632/1.14</f>
        <v>28.061403508771932</v>
      </c>
      <c r="M636" s="106">
        <f>'Detailed Report'!AU632-L636</f>
        <v>3.9285964912280669</v>
      </c>
      <c r="N636" s="110">
        <f>'Detailed Report'!AW632</f>
        <v>161.46600000000001</v>
      </c>
      <c r="O636" s="111">
        <f t="shared" si="55"/>
        <v>70.981369999999998</v>
      </c>
      <c r="P636" s="110">
        <f>'Detailed Report'!AM632</f>
        <v>0</v>
      </c>
      <c r="Q636" s="110">
        <f>'Detailed Report'!AN632</f>
        <v>0</v>
      </c>
      <c r="R636" s="110">
        <f>'Detailed Report'!AU632/1.14</f>
        <v>28.061403508771932</v>
      </c>
      <c r="S636" s="110">
        <f>'Detailed Report'!AU632-'........... - Otlob'!R636</f>
        <v>3.9285964912280669</v>
      </c>
    </row>
    <row r="637" spans="1:19" ht="14.45" customHeight="1" x14ac:dyDescent="0.25">
      <c r="A637" s="105">
        <f>+IF(B637="","",SUBTOTAL(3,B$8:B637))</f>
        <v>630</v>
      </c>
      <c r="B637" s="106" t="str">
        <f>'Detailed Report'!O633</f>
        <v>Fuddruckers - New Maadi</v>
      </c>
      <c r="C637" s="107">
        <f>TRUNC('Detailed Report'!Q633,0)</f>
        <v>46043</v>
      </c>
      <c r="D637" s="108">
        <f>'Detailed Report'!P633</f>
        <v>3412319943</v>
      </c>
      <c r="E637" s="106" t="str">
        <f>'Detailed Report'!S633</f>
        <v>Successful</v>
      </c>
      <c r="F637" s="109">
        <f>IF(E637=$E$6,('Detailed Report'!Y633),IF(E637=$E$5,(0),0))</f>
        <v>430</v>
      </c>
      <c r="G637" s="106">
        <f>IF(E637=$E$6,('Detailed Report'!AQ633),IF(E637=$E$5,('Detailed Report'!AW633),0))</f>
        <v>377.19297999999998</v>
      </c>
      <c r="H637" s="106">
        <f>'Detailed Report'!AS633</f>
        <v>94.298249999999996</v>
      </c>
      <c r="I637" s="106">
        <f>'Detailed Report'!AT633</f>
        <v>13.201755</v>
      </c>
      <c r="J637" s="106">
        <f>'Detailed Report'!AO633</f>
        <v>7.5250000000000004</v>
      </c>
      <c r="K637" s="106">
        <f>'Detailed Report'!AP633</f>
        <v>1.0535000000000001</v>
      </c>
      <c r="L637" s="106">
        <f>'Detailed Report'!AU633/1.14</f>
        <v>0</v>
      </c>
      <c r="M637" s="106">
        <f>'Detailed Report'!AU633-L637</f>
        <v>0</v>
      </c>
      <c r="N637" s="110">
        <f>'Detailed Report'!AW633</f>
        <v>313.92099999999999</v>
      </c>
      <c r="O637" s="111">
        <f t="shared" si="55"/>
        <v>63.271979999999985</v>
      </c>
      <c r="P637" s="110">
        <f>'Detailed Report'!AM633</f>
        <v>0</v>
      </c>
      <c r="Q637" s="110">
        <f>'Detailed Report'!AN633</f>
        <v>0</v>
      </c>
      <c r="R637" s="110">
        <f>'Detailed Report'!AU633/1.14</f>
        <v>0</v>
      </c>
      <c r="S637" s="110">
        <f>'Detailed Report'!AU633-'........... - Otlob'!R637</f>
        <v>0</v>
      </c>
    </row>
    <row r="638" spans="1:19" ht="14.45" customHeight="1" x14ac:dyDescent="0.25">
      <c r="A638" s="105">
        <f>+IF(B638="","",SUBTOTAL(3,B$8:B638))</f>
        <v>631</v>
      </c>
      <c r="B638" s="106" t="str">
        <f>'Detailed Report'!O634</f>
        <v>Fuddruckers - Concord Plaza Mall</v>
      </c>
      <c r="C638" s="107">
        <f>TRUNC('Detailed Report'!Q634,0)</f>
        <v>46043</v>
      </c>
      <c r="D638" s="108">
        <f>'Detailed Report'!P634</f>
        <v>3412325933</v>
      </c>
      <c r="E638" s="106" t="str">
        <f>'Detailed Report'!S634</f>
        <v>Successful</v>
      </c>
      <c r="F638" s="109">
        <f>IF(E638=$E$6,('Detailed Report'!Y634),IF(E638=$E$5,(0),0))</f>
        <v>639.99</v>
      </c>
      <c r="G638" s="106">
        <f>IF(E638=$E$6,('Detailed Report'!AQ634),IF(E638=$E$5,('Detailed Report'!AW634),0))</f>
        <v>561.39473999999996</v>
      </c>
      <c r="H638" s="106">
        <f>'Detailed Report'!AS634</f>
        <v>140.34869</v>
      </c>
      <c r="I638" s="106">
        <f>'Detailed Report'!AT634</f>
        <v>19.6488166</v>
      </c>
      <c r="J638" s="106">
        <f>'Detailed Report'!AO634</f>
        <v>11.199825000000001</v>
      </c>
      <c r="K638" s="106">
        <f>'Detailed Report'!AP634</f>
        <v>1.5679755</v>
      </c>
      <c r="L638" s="106">
        <f>'Detailed Report'!AU634/1.14</f>
        <v>0</v>
      </c>
      <c r="M638" s="106">
        <f>'Detailed Report'!AU634-L638</f>
        <v>0</v>
      </c>
      <c r="N638" s="110">
        <f>'Detailed Report'!AW634</f>
        <v>467.22500000000002</v>
      </c>
      <c r="O638" s="111">
        <f t="shared" si="55"/>
        <v>94.169739999999933</v>
      </c>
      <c r="P638" s="110">
        <f>'Detailed Report'!AM634</f>
        <v>0</v>
      </c>
      <c r="Q638" s="110">
        <f>'Detailed Report'!AN634</f>
        <v>0</v>
      </c>
      <c r="R638" s="110">
        <f>'Detailed Report'!AU634/1.14</f>
        <v>0</v>
      </c>
      <c r="S638" s="110">
        <f>'Detailed Report'!AU634-'........... - Otlob'!R638</f>
        <v>0</v>
      </c>
    </row>
    <row r="639" spans="1:19" ht="14.45" customHeight="1" x14ac:dyDescent="0.25">
      <c r="A639" s="105">
        <f>+IF(B639="","",SUBTOTAL(3,B$8:B639))</f>
        <v>632</v>
      </c>
      <c r="B639" s="106" t="str">
        <f>'Detailed Report'!O635</f>
        <v>Fuddruckers - City Stars</v>
      </c>
      <c r="C639" s="107">
        <f>TRUNC('Detailed Report'!Q635,0)</f>
        <v>46043</v>
      </c>
      <c r="D639" s="108">
        <f>'Detailed Report'!P635</f>
        <v>3412400995</v>
      </c>
      <c r="E639" s="106" t="str">
        <f>'Detailed Report'!S635</f>
        <v>Successful</v>
      </c>
      <c r="F639" s="109">
        <f>IF(E639=$E$6,('Detailed Report'!Y635),IF(E639=$E$5,(0),0))</f>
        <v>245.68</v>
      </c>
      <c r="G639" s="106">
        <f>IF(E639=$E$6,('Detailed Report'!AQ635),IF(E639=$E$5,('Detailed Report'!AW635),0))</f>
        <v>215.50877</v>
      </c>
      <c r="H639" s="106">
        <f>'Detailed Report'!AS635</f>
        <v>53.877189999999999</v>
      </c>
      <c r="I639" s="106">
        <f>'Detailed Report'!AT635</f>
        <v>7.5428065999999996</v>
      </c>
      <c r="J639" s="106">
        <f>'Detailed Report'!AO635</f>
        <v>0</v>
      </c>
      <c r="K639" s="106">
        <f>'Detailed Report'!AP635</f>
        <v>0</v>
      </c>
      <c r="L639" s="106">
        <f>'Detailed Report'!AU635/1.14</f>
        <v>23.67543859649123</v>
      </c>
      <c r="M639" s="106">
        <f>'Detailed Report'!AU635-L639</f>
        <v>3.3145614035087689</v>
      </c>
      <c r="N639" s="110">
        <f>'Detailed Report'!AW635</f>
        <v>157.27000000000001</v>
      </c>
      <c r="O639" s="111">
        <f t="shared" si="55"/>
        <v>58.238769999999988</v>
      </c>
      <c r="P639" s="110">
        <f>'Detailed Report'!AM635</f>
        <v>0</v>
      </c>
      <c r="Q639" s="110">
        <f>'Detailed Report'!AN635</f>
        <v>0</v>
      </c>
      <c r="R639" s="110">
        <f>'Detailed Report'!AU635/1.14</f>
        <v>23.67543859649123</v>
      </c>
      <c r="S639" s="110">
        <f>'Detailed Report'!AU635-'........... - Otlob'!R639</f>
        <v>3.3145614035087689</v>
      </c>
    </row>
    <row r="640" spans="1:19" ht="14.45" customHeight="1" x14ac:dyDescent="0.25">
      <c r="A640" s="105">
        <f>+IF(B640="","",SUBTOTAL(3,B$8:B640))</f>
        <v>633</v>
      </c>
      <c r="B640" s="106" t="str">
        <f>'Detailed Report'!O636</f>
        <v>Fuddruckers - New Maadi</v>
      </c>
      <c r="C640" s="107">
        <f>TRUNC('Detailed Report'!Q636,0)</f>
        <v>46043</v>
      </c>
      <c r="D640" s="108">
        <f>'Detailed Report'!P636</f>
        <v>3412475681</v>
      </c>
      <c r="E640" s="106" t="str">
        <f>'Detailed Report'!S636</f>
        <v>Successful</v>
      </c>
      <c r="F640" s="109">
        <f>IF(E640=$E$6,('Detailed Report'!Y636),IF(E640=$E$5,(0),0))</f>
        <v>352</v>
      </c>
      <c r="G640" s="106">
        <f>IF(E640=$E$6,('Detailed Report'!AQ636),IF(E640=$E$5,('Detailed Report'!AW636),0))</f>
        <v>308.77193</v>
      </c>
      <c r="H640" s="106">
        <f>'Detailed Report'!AS636</f>
        <v>77.192980000000006</v>
      </c>
      <c r="I640" s="106">
        <f>'Detailed Report'!AT636</f>
        <v>10.807017200000001</v>
      </c>
      <c r="J640" s="106">
        <f>'Detailed Report'!AO636</f>
        <v>6.16</v>
      </c>
      <c r="K640" s="106">
        <f>'Detailed Report'!AP636</f>
        <v>0.86240000000000006</v>
      </c>
      <c r="L640" s="106">
        <f>'Detailed Report'!AU636/1.14</f>
        <v>0</v>
      </c>
      <c r="M640" s="106">
        <f>'Detailed Report'!AU636-L640</f>
        <v>0</v>
      </c>
      <c r="N640" s="110">
        <f>'Detailed Report'!AW636</f>
        <v>256.97800000000001</v>
      </c>
      <c r="O640" s="111">
        <f t="shared" si="55"/>
        <v>51.793929999999989</v>
      </c>
      <c r="P640" s="110">
        <f>'Detailed Report'!AM636</f>
        <v>0</v>
      </c>
      <c r="Q640" s="110">
        <f>'Detailed Report'!AN636</f>
        <v>0</v>
      </c>
      <c r="R640" s="110">
        <f>'Detailed Report'!AU636/1.14</f>
        <v>0</v>
      </c>
      <c r="S640" s="110">
        <f>'Detailed Report'!AU636-'........... - Otlob'!R640</f>
        <v>0</v>
      </c>
    </row>
    <row r="641" spans="1:19" ht="14.45" customHeight="1" x14ac:dyDescent="0.25">
      <c r="A641" s="105">
        <f>+IF(B641="","",SUBTOTAL(3,B$8:B641))</f>
        <v>634</v>
      </c>
      <c r="B641" s="106" t="str">
        <f>'Detailed Report'!O637</f>
        <v>Fuddruckers - New Maadi</v>
      </c>
      <c r="C641" s="107">
        <f>TRUNC('Detailed Report'!Q637,0)</f>
        <v>46044</v>
      </c>
      <c r="D641" s="108">
        <f>'Detailed Report'!P637</f>
        <v>3413191525</v>
      </c>
      <c r="E641" s="106" t="str">
        <f>'Detailed Report'!S637</f>
        <v>Successful</v>
      </c>
      <c r="F641" s="109">
        <f>IF(E641=$E$6,('Detailed Report'!Y637),IF(E641=$E$5,(0),0))</f>
        <v>645.29</v>
      </c>
      <c r="G641" s="106">
        <f>IF(E641=$E$6,('Detailed Report'!AQ637),IF(E641=$E$5,('Detailed Report'!AW637),0))</f>
        <v>566.04386</v>
      </c>
      <c r="H641" s="106">
        <f>'Detailed Report'!AS637</f>
        <v>141.51096999999999</v>
      </c>
      <c r="I641" s="106">
        <f>'Detailed Report'!AT637</f>
        <v>19.811535800000001</v>
      </c>
      <c r="J641" s="106">
        <f>'Detailed Report'!AO637</f>
        <v>0</v>
      </c>
      <c r="K641" s="106">
        <f>'Detailed Report'!AP637</f>
        <v>0</v>
      </c>
      <c r="L641" s="106">
        <f>'Detailed Report'!AU637/1.14</f>
        <v>0</v>
      </c>
      <c r="M641" s="106">
        <f>'Detailed Report'!AU637-L641</f>
        <v>0</v>
      </c>
      <c r="N641" s="110">
        <f>'Detailed Report'!AW637</f>
        <v>483.96699999999998</v>
      </c>
      <c r="O641" s="111">
        <f t="shared" si="55"/>
        <v>82.076860000000011</v>
      </c>
      <c r="P641" s="110">
        <f>'Detailed Report'!AM637</f>
        <v>0</v>
      </c>
      <c r="Q641" s="110">
        <f>'Detailed Report'!AN637</f>
        <v>0</v>
      </c>
      <c r="R641" s="110">
        <f>'Detailed Report'!AU637/1.14</f>
        <v>0</v>
      </c>
      <c r="S641" s="110">
        <f>'Detailed Report'!AU637-'........... - Otlob'!R641</f>
        <v>0</v>
      </c>
    </row>
    <row r="642" spans="1:19" ht="14.45" customHeight="1" x14ac:dyDescent="0.25">
      <c r="A642" s="105">
        <f>+IF(B642="","",SUBTOTAL(3,B$8:B642))</f>
        <v>635</v>
      </c>
      <c r="B642" s="106" t="str">
        <f>'Detailed Report'!O638</f>
        <v>Fuddruckers - Concord Plaza Mall</v>
      </c>
      <c r="C642" s="107">
        <f>TRUNC('Detailed Report'!Q638,0)</f>
        <v>46044</v>
      </c>
      <c r="D642" s="108">
        <f>'Detailed Report'!P638</f>
        <v>3413373863</v>
      </c>
      <c r="E642" s="106" t="str">
        <f>'Detailed Report'!S638</f>
        <v>Successful</v>
      </c>
      <c r="F642" s="109">
        <f>IF(E642=$E$6,('Detailed Report'!Y638),IF(E642=$E$5,(0),0))</f>
        <v>974.97</v>
      </c>
      <c r="G642" s="106">
        <f>IF(E642=$E$6,('Detailed Report'!AQ638),IF(E642=$E$5,('Detailed Report'!AW638),0))</f>
        <v>855.23684000000003</v>
      </c>
      <c r="H642" s="106">
        <f>'Detailed Report'!AS638</f>
        <v>213.80921000000001</v>
      </c>
      <c r="I642" s="106">
        <f>'Detailed Report'!AT638</f>
        <v>29.9332894</v>
      </c>
      <c r="J642" s="106">
        <f>'Detailed Report'!AO638</f>
        <v>17.061975</v>
      </c>
      <c r="K642" s="106">
        <f>'Detailed Report'!AP638</f>
        <v>2.3886764999999999</v>
      </c>
      <c r="L642" s="106">
        <f>'Detailed Report'!AU638/1.14</f>
        <v>0</v>
      </c>
      <c r="M642" s="106">
        <f>'Detailed Report'!AU638-L642</f>
        <v>0</v>
      </c>
      <c r="N642" s="110">
        <f>'Detailed Report'!AW638</f>
        <v>711.77700000000004</v>
      </c>
      <c r="O642" s="111">
        <f t="shared" si="55"/>
        <v>143.45983999999999</v>
      </c>
      <c r="P642" s="110">
        <f>'Detailed Report'!AM638</f>
        <v>0</v>
      </c>
      <c r="Q642" s="110">
        <f>'Detailed Report'!AN638</f>
        <v>0</v>
      </c>
      <c r="R642" s="110">
        <f>'Detailed Report'!AU638/1.14</f>
        <v>0</v>
      </c>
      <c r="S642" s="110">
        <f>'Detailed Report'!AU638-'........... - Otlob'!R642</f>
        <v>0</v>
      </c>
    </row>
    <row r="643" spans="1:19" ht="14.45" customHeight="1" x14ac:dyDescent="0.25">
      <c r="A643" s="105">
        <f>+IF(B643="","",SUBTOTAL(3,B$8:B643))</f>
        <v>636</v>
      </c>
      <c r="B643" s="106" t="str">
        <f>'Detailed Report'!O639</f>
        <v>Fuddruckers - City Stars</v>
      </c>
      <c r="C643" s="107">
        <f>TRUNC('Detailed Report'!Q639,0)</f>
        <v>46044</v>
      </c>
      <c r="D643" s="108">
        <f>'Detailed Report'!P639</f>
        <v>3413395684</v>
      </c>
      <c r="E643" s="106" t="str">
        <f>'Detailed Report'!S639</f>
        <v>Successful</v>
      </c>
      <c r="F643" s="109">
        <f>IF(E643=$E$6,('Detailed Report'!Y639),IF(E643=$E$5,(0),0))</f>
        <v>454</v>
      </c>
      <c r="G643" s="106">
        <f>IF(E643=$E$6,('Detailed Report'!AQ639),IF(E643=$E$5,('Detailed Report'!AW639),0))</f>
        <v>398.24561</v>
      </c>
      <c r="H643" s="106">
        <f>'Detailed Report'!AS639</f>
        <v>99.561400000000006</v>
      </c>
      <c r="I643" s="106">
        <f>'Detailed Report'!AT639</f>
        <v>13.938596</v>
      </c>
      <c r="J643" s="106">
        <f>'Detailed Report'!AO639</f>
        <v>0</v>
      </c>
      <c r="K643" s="106">
        <f>'Detailed Report'!AP639</f>
        <v>0</v>
      </c>
      <c r="L643" s="106">
        <f>'Detailed Report'!AU639/1.14</f>
        <v>0</v>
      </c>
      <c r="M643" s="106">
        <f>'Detailed Report'!AU639-L643</f>
        <v>0</v>
      </c>
      <c r="N643" s="110">
        <f>'Detailed Report'!AW639</f>
        <v>340.5</v>
      </c>
      <c r="O643" s="111">
        <f t="shared" si="55"/>
        <v>57.745609999999999</v>
      </c>
      <c r="P643" s="110">
        <f>'Detailed Report'!AM639</f>
        <v>0</v>
      </c>
      <c r="Q643" s="110">
        <f>'Detailed Report'!AN639</f>
        <v>0</v>
      </c>
      <c r="R643" s="110">
        <f>'Detailed Report'!AU639/1.14</f>
        <v>0</v>
      </c>
      <c r="S643" s="110">
        <f>'Detailed Report'!AU639-'........... - Otlob'!R643</f>
        <v>0</v>
      </c>
    </row>
    <row r="644" spans="1:19" ht="14.45" customHeight="1" x14ac:dyDescent="0.25">
      <c r="A644" s="105">
        <f>+IF(B644="","",SUBTOTAL(3,B$8:B644))</f>
        <v>637</v>
      </c>
      <c r="B644" s="106" t="str">
        <f>'Detailed Report'!O640</f>
        <v>Fuddruckers - Concord Plaza Mall</v>
      </c>
      <c r="C644" s="107">
        <f>TRUNC('Detailed Report'!Q640,0)</f>
        <v>46044</v>
      </c>
      <c r="D644" s="108">
        <f>'Detailed Report'!P640</f>
        <v>3413395929</v>
      </c>
      <c r="E644" s="106" t="str">
        <f>'Detailed Report'!S640</f>
        <v>Successful</v>
      </c>
      <c r="F644" s="109">
        <f>IF(E644=$E$6,('Detailed Report'!Y640),IF(E644=$E$5,(0),0))</f>
        <v>1537.61</v>
      </c>
      <c r="G644" s="106">
        <f>IF(E644=$E$6,('Detailed Report'!AQ640),IF(E644=$E$5,('Detailed Report'!AW640),0))</f>
        <v>1348.7807</v>
      </c>
      <c r="H644" s="106">
        <f>'Detailed Report'!AS640</f>
        <v>337.19517999999999</v>
      </c>
      <c r="I644" s="106">
        <f>'Detailed Report'!AT640</f>
        <v>47.2073252</v>
      </c>
      <c r="J644" s="106">
        <f>'Detailed Report'!AO640</f>
        <v>26.908175</v>
      </c>
      <c r="K644" s="106">
        <f>'Detailed Report'!AP640</f>
        <v>3.7671445000000001</v>
      </c>
      <c r="L644" s="106">
        <f>'Detailed Report'!AU640/1.14</f>
        <v>0</v>
      </c>
      <c r="M644" s="106">
        <f>'Detailed Report'!AU640-L644</f>
        <v>0</v>
      </c>
      <c r="N644" s="110">
        <f>'Detailed Report'!AW640</f>
        <v>1122.5319999999999</v>
      </c>
      <c r="O644" s="111">
        <f t="shared" si="55"/>
        <v>226.2487000000001</v>
      </c>
      <c r="P644" s="110">
        <f>'Detailed Report'!AM640</f>
        <v>0</v>
      </c>
      <c r="Q644" s="110">
        <f>'Detailed Report'!AN640</f>
        <v>0</v>
      </c>
      <c r="R644" s="110">
        <f>'Detailed Report'!AU640/1.14</f>
        <v>0</v>
      </c>
      <c r="S644" s="110">
        <f>'Detailed Report'!AU640-'........... - Otlob'!R644</f>
        <v>0</v>
      </c>
    </row>
    <row r="645" spans="1:19" ht="14.45" customHeight="1" x14ac:dyDescent="0.25">
      <c r="A645" s="105">
        <f>+IF(B645="","",SUBTOTAL(3,B$8:B645))</f>
        <v>638</v>
      </c>
      <c r="B645" s="106" t="str">
        <f>'Detailed Report'!O641</f>
        <v>Fuddruckers - New Maadi</v>
      </c>
      <c r="C645" s="107">
        <f>TRUNC('Detailed Report'!Q641,0)</f>
        <v>46044</v>
      </c>
      <c r="D645" s="108">
        <f>'Detailed Report'!P641</f>
        <v>3413428962</v>
      </c>
      <c r="E645" s="106" t="str">
        <f>'Detailed Report'!S641</f>
        <v>Successful</v>
      </c>
      <c r="F645" s="109">
        <f>IF(E645=$E$6,('Detailed Report'!Y641),IF(E645=$E$5,(0),0))</f>
        <v>740.87</v>
      </c>
      <c r="G645" s="106">
        <f>IF(E645=$E$6,('Detailed Report'!AQ641),IF(E645=$E$5,('Detailed Report'!AW641),0))</f>
        <v>702.50877000000003</v>
      </c>
      <c r="H645" s="106">
        <f>'Detailed Report'!AS641</f>
        <v>175.62719000000001</v>
      </c>
      <c r="I645" s="106">
        <f>'Detailed Report'!AT641</f>
        <v>24.5878066</v>
      </c>
      <c r="J645" s="106">
        <f>'Detailed Report'!AO641</f>
        <v>12.965225</v>
      </c>
      <c r="K645" s="106">
        <f>'Detailed Report'!AP641</f>
        <v>1.8151314999999999</v>
      </c>
      <c r="L645" s="106">
        <f>'Detailed Report'!AU641/1.14</f>
        <v>23.67543859649123</v>
      </c>
      <c r="M645" s="106">
        <f>'Detailed Report'!AU641-L645</f>
        <v>3.3145614035087689</v>
      </c>
      <c r="N645" s="110">
        <f>'Detailed Report'!AW641</f>
        <v>498.88499999999999</v>
      </c>
      <c r="O645" s="111">
        <f t="shared" si="55"/>
        <v>203.62377000000004</v>
      </c>
      <c r="P645" s="110">
        <f>'Detailed Report'!AM641</f>
        <v>0</v>
      </c>
      <c r="Q645" s="110">
        <f>'Detailed Report'!AN641</f>
        <v>0</v>
      </c>
      <c r="R645" s="110">
        <f>'Detailed Report'!AU641/1.14</f>
        <v>23.67543859649123</v>
      </c>
      <c r="S645" s="110">
        <f>'Detailed Report'!AU641-'........... - Otlob'!R645</f>
        <v>3.3145614035087689</v>
      </c>
    </row>
    <row r="646" spans="1:19" ht="14.45" customHeight="1" x14ac:dyDescent="0.25">
      <c r="A646" s="105">
        <f>+IF(B646="","",SUBTOTAL(3,B$8:B646))</f>
        <v>639</v>
      </c>
      <c r="B646" s="106" t="str">
        <f>'Detailed Report'!O642</f>
        <v>Fuddruckers - Concord Plaza Mall</v>
      </c>
      <c r="C646" s="107">
        <f>TRUNC('Detailed Report'!Q642,0)</f>
        <v>46044</v>
      </c>
      <c r="D646" s="108">
        <f>'Detailed Report'!P642</f>
        <v>3413479879</v>
      </c>
      <c r="E646" s="106" t="str">
        <f>'Detailed Report'!S642</f>
        <v>Successful</v>
      </c>
      <c r="F646" s="109">
        <f>IF(E646=$E$6,('Detailed Report'!Y642),IF(E646=$E$5,(0),0))</f>
        <v>419.99</v>
      </c>
      <c r="G646" s="106">
        <f>IF(E646=$E$6,('Detailed Report'!AQ642),IF(E646=$E$5,('Detailed Report'!AW642),0))</f>
        <v>368.41228000000001</v>
      </c>
      <c r="H646" s="106">
        <f>'Detailed Report'!AS642</f>
        <v>92.103070000000002</v>
      </c>
      <c r="I646" s="106">
        <f>'Detailed Report'!AT642</f>
        <v>12.894429799999999</v>
      </c>
      <c r="J646" s="106">
        <f>'Detailed Report'!AO642</f>
        <v>7.3498250000000001</v>
      </c>
      <c r="K646" s="106">
        <f>'Detailed Report'!AP642</f>
        <v>1.0289755</v>
      </c>
      <c r="L646" s="106">
        <f>'Detailed Report'!AU642/1.14</f>
        <v>27.184210526315791</v>
      </c>
      <c r="M646" s="106">
        <f>'Detailed Report'!AU642-L646</f>
        <v>3.8057894736842073</v>
      </c>
      <c r="N646" s="110">
        <f>'Detailed Report'!AW642</f>
        <v>275.62400000000002</v>
      </c>
      <c r="O646" s="111">
        <f t="shared" si="55"/>
        <v>92.788279999999986</v>
      </c>
      <c r="P646" s="110">
        <f>'Detailed Report'!AM642</f>
        <v>0</v>
      </c>
      <c r="Q646" s="110">
        <f>'Detailed Report'!AN642</f>
        <v>0</v>
      </c>
      <c r="R646" s="110">
        <f>'Detailed Report'!AU642/1.14</f>
        <v>27.184210526315791</v>
      </c>
      <c r="S646" s="110">
        <f>'Detailed Report'!AU642-'........... - Otlob'!R646</f>
        <v>3.8057894736842073</v>
      </c>
    </row>
    <row r="647" spans="1:19" ht="14.45" customHeight="1" x14ac:dyDescent="0.25">
      <c r="A647" s="105">
        <f>+IF(B647="","",SUBTOTAL(3,B$8:B647))</f>
        <v>640</v>
      </c>
      <c r="B647" s="106" t="str">
        <f>'Detailed Report'!O643</f>
        <v>Fuddruckers - Concord Plaza Mall</v>
      </c>
      <c r="C647" s="107">
        <f>TRUNC('Detailed Report'!Q643,0)</f>
        <v>46044</v>
      </c>
      <c r="D647" s="108">
        <f>'Detailed Report'!P643</f>
        <v>3413490335</v>
      </c>
      <c r="E647" s="106" t="str">
        <f>'Detailed Report'!S643</f>
        <v>Successful</v>
      </c>
      <c r="F647" s="109">
        <f>IF(E647=$E$6,('Detailed Report'!Y643),IF(E647=$E$5,(0),0))</f>
        <v>729.98</v>
      </c>
      <c r="G647" s="106">
        <f>IF(E647=$E$6,('Detailed Report'!AQ643),IF(E647=$E$5,('Detailed Report'!AW643),0))</f>
        <v>640.33333000000005</v>
      </c>
      <c r="H647" s="106">
        <f>'Detailed Report'!AS643</f>
        <v>160.08332999999999</v>
      </c>
      <c r="I647" s="106">
        <f>'Detailed Report'!AT643</f>
        <v>22.411666199999999</v>
      </c>
      <c r="J647" s="106">
        <f>'Detailed Report'!AO643</f>
        <v>12.774649999999999</v>
      </c>
      <c r="K647" s="106">
        <f>'Detailed Report'!AP643</f>
        <v>1.788451</v>
      </c>
      <c r="L647" s="106">
        <f>'Detailed Report'!AU643/1.14</f>
        <v>0</v>
      </c>
      <c r="M647" s="106">
        <f>'Detailed Report'!AU643-L647</f>
        <v>0</v>
      </c>
      <c r="N647" s="110">
        <f>'Detailed Report'!AW643</f>
        <v>532.92200000000003</v>
      </c>
      <c r="O647" s="111">
        <f t="shared" si="55"/>
        <v>107.41133000000002</v>
      </c>
      <c r="P647" s="110">
        <f>'Detailed Report'!AM643</f>
        <v>0</v>
      </c>
      <c r="Q647" s="110">
        <f>'Detailed Report'!AN643</f>
        <v>0</v>
      </c>
      <c r="R647" s="110">
        <f>'Detailed Report'!AU643/1.14</f>
        <v>0</v>
      </c>
      <c r="S647" s="110">
        <f>'Detailed Report'!AU643-'........... - Otlob'!R647</f>
        <v>0</v>
      </c>
    </row>
    <row r="648" spans="1:19" ht="14.45" customHeight="1" x14ac:dyDescent="0.25">
      <c r="A648" s="105">
        <f>+IF(B648="","",SUBTOTAL(3,B$8:B648))</f>
        <v>641</v>
      </c>
      <c r="B648" s="106" t="str">
        <f>'Detailed Report'!O644</f>
        <v>Fuddruckers - Concord Plaza Mall</v>
      </c>
      <c r="C648" s="107">
        <f>TRUNC('Detailed Report'!Q644,0)</f>
        <v>46044</v>
      </c>
      <c r="D648" s="108">
        <f>'Detailed Report'!P644</f>
        <v>3413588879</v>
      </c>
      <c r="E648" s="106" t="str">
        <f>'Detailed Report'!S644</f>
        <v>Successful</v>
      </c>
      <c r="F648" s="109">
        <f>IF(E648=$E$6,('Detailed Report'!Y644),IF(E648=$E$5,(0),0))</f>
        <v>543.66</v>
      </c>
      <c r="G648" s="106">
        <f>IF(E648=$E$6,('Detailed Report'!AQ644),IF(E648=$E$5,('Detailed Report'!AW644),0))</f>
        <v>476.89474000000001</v>
      </c>
      <c r="H648" s="106">
        <f>'Detailed Report'!AS644</f>
        <v>119.22369</v>
      </c>
      <c r="I648" s="106">
        <f>'Detailed Report'!AT644</f>
        <v>16.6913166</v>
      </c>
      <c r="J648" s="106">
        <f>'Detailed Report'!AO644</f>
        <v>9.5140499999999992</v>
      </c>
      <c r="K648" s="106">
        <f>'Detailed Report'!AP644</f>
        <v>1.3319669999999999</v>
      </c>
      <c r="L648" s="106">
        <f>'Detailed Report'!AU644/1.14</f>
        <v>28.061403508771932</v>
      </c>
      <c r="M648" s="106">
        <f>'Detailed Report'!AU644-L648</f>
        <v>3.9285964912280669</v>
      </c>
      <c r="N648" s="110">
        <f>'Detailed Report'!AW644</f>
        <v>364.90899999999999</v>
      </c>
      <c r="O648" s="111">
        <f t="shared" si="55"/>
        <v>111.98574000000002</v>
      </c>
      <c r="P648" s="110">
        <f>'Detailed Report'!AM644</f>
        <v>0</v>
      </c>
      <c r="Q648" s="110">
        <f>'Detailed Report'!AN644</f>
        <v>0</v>
      </c>
      <c r="R648" s="110">
        <f>'Detailed Report'!AU644/1.14</f>
        <v>28.061403508771932</v>
      </c>
      <c r="S648" s="110">
        <f>'Detailed Report'!AU644-'........... - Otlob'!R648</f>
        <v>3.9285964912280669</v>
      </c>
    </row>
    <row r="649" spans="1:19" ht="14.45" customHeight="1" x14ac:dyDescent="0.25">
      <c r="A649" s="105">
        <f>+IF(B649="","",SUBTOTAL(3,B$8:B649))</f>
        <v>642</v>
      </c>
      <c r="B649" s="106" t="str">
        <f>'Detailed Report'!O645</f>
        <v>Fuddruckers - Concord Plaza Mall</v>
      </c>
      <c r="C649" s="107">
        <f>TRUNC('Detailed Report'!Q645,0)</f>
        <v>46044</v>
      </c>
      <c r="D649" s="108">
        <f>'Detailed Report'!P645</f>
        <v>3413604927</v>
      </c>
      <c r="E649" s="106" t="str">
        <f>'Detailed Report'!S645</f>
        <v>Successful</v>
      </c>
      <c r="F649" s="109">
        <f>IF(E649=$E$6,('Detailed Report'!Y645),IF(E649=$E$5,(0),0))</f>
        <v>1811.95</v>
      </c>
      <c r="G649" s="106">
        <f>IF(E649=$E$6,('Detailed Report'!AQ645),IF(E649=$E$5,('Detailed Report'!AW645),0))</f>
        <v>1589.4298200000001</v>
      </c>
      <c r="H649" s="106">
        <f>'Detailed Report'!AS645</f>
        <v>397.35746</v>
      </c>
      <c r="I649" s="106">
        <f>'Detailed Report'!AT645</f>
        <v>55.630044400000003</v>
      </c>
      <c r="J649" s="106">
        <f>'Detailed Report'!AO645</f>
        <v>31.709126749999999</v>
      </c>
      <c r="K649" s="106">
        <f>'Detailed Report'!AP645</f>
        <v>4.4392777450000001</v>
      </c>
      <c r="L649" s="106">
        <f>'Detailed Report'!AU645/1.14</f>
        <v>0</v>
      </c>
      <c r="M649" s="106">
        <f>'Detailed Report'!AU645-L649</f>
        <v>0</v>
      </c>
      <c r="N649" s="110">
        <f>'Detailed Report'!AW645</f>
        <v>1322.8140000000001</v>
      </c>
      <c r="O649" s="111">
        <f t="shared" ref="O649:O712" si="56">G649-N649</f>
        <v>266.61581999999999</v>
      </c>
      <c r="P649" s="110">
        <f>'Detailed Report'!AM645</f>
        <v>0</v>
      </c>
      <c r="Q649" s="110">
        <f>'Detailed Report'!AN645</f>
        <v>0</v>
      </c>
      <c r="R649" s="110">
        <f>'Detailed Report'!AU645/1.14</f>
        <v>0</v>
      </c>
      <c r="S649" s="110">
        <f>'Detailed Report'!AU645-'........... - Otlob'!R649</f>
        <v>0</v>
      </c>
    </row>
    <row r="650" spans="1:19" ht="14.45" customHeight="1" x14ac:dyDescent="0.25">
      <c r="A650" s="105">
        <f>+IF(B650="","",SUBTOTAL(3,B$8:B650))</f>
        <v>643</v>
      </c>
      <c r="B650" s="106" t="str">
        <f>'Detailed Report'!O646</f>
        <v>Fuddruckers - Concord Plaza Mall</v>
      </c>
      <c r="C650" s="107">
        <f>TRUNC('Detailed Report'!Q646,0)</f>
        <v>46044</v>
      </c>
      <c r="D650" s="108">
        <f>'Detailed Report'!P646</f>
        <v>3413648446</v>
      </c>
      <c r="E650" s="106" t="str">
        <f>'Detailed Report'!S646</f>
        <v>Successful</v>
      </c>
      <c r="F650" s="109">
        <f>IF(E650=$E$6,('Detailed Report'!Y646),IF(E650=$E$5,(0),0))</f>
        <v>1466.96</v>
      </c>
      <c r="G650" s="106">
        <f>IF(E650=$E$6,('Detailed Report'!AQ646),IF(E650=$E$5,('Detailed Report'!AW646),0))</f>
        <v>1286.80702</v>
      </c>
      <c r="H650" s="106">
        <f>'Detailed Report'!AS646</f>
        <v>321.70175999999998</v>
      </c>
      <c r="I650" s="106">
        <f>'Detailed Report'!AT646</f>
        <v>45.038246399999998</v>
      </c>
      <c r="J650" s="106">
        <f>'Detailed Report'!AO646</f>
        <v>25.671800000000001</v>
      </c>
      <c r="K650" s="106">
        <f>'Detailed Report'!AP646</f>
        <v>3.594052</v>
      </c>
      <c r="L650" s="106">
        <f>'Detailed Report'!AU646/1.14</f>
        <v>31.570175438596497</v>
      </c>
      <c r="M650" s="106">
        <f>'Detailed Report'!AU646-L650</f>
        <v>4.4198245614035052</v>
      </c>
      <c r="N650" s="110">
        <f>'Detailed Report'!AW646</f>
        <v>1034.9639999999999</v>
      </c>
      <c r="O650" s="111">
        <f t="shared" si="56"/>
        <v>251.84302000000002</v>
      </c>
      <c r="P650" s="110">
        <f>'Detailed Report'!AM646</f>
        <v>0</v>
      </c>
      <c r="Q650" s="110">
        <f>'Detailed Report'!AN646</f>
        <v>0</v>
      </c>
      <c r="R650" s="110">
        <f>'Detailed Report'!AU646/1.14</f>
        <v>31.570175438596497</v>
      </c>
      <c r="S650" s="110">
        <f>'Detailed Report'!AU646-'........... - Otlob'!R650</f>
        <v>4.4198245614035052</v>
      </c>
    </row>
    <row r="651" spans="1:19" ht="14.45" customHeight="1" x14ac:dyDescent="0.25">
      <c r="A651" s="105">
        <f>+IF(B651="","",SUBTOTAL(3,B$8:B651))</f>
        <v>644</v>
      </c>
      <c r="B651" s="106" t="str">
        <f>'Detailed Report'!O647</f>
        <v>Fuddruckers - Concord Plaza Mall</v>
      </c>
      <c r="C651" s="107">
        <f>TRUNC('Detailed Report'!Q647,0)</f>
        <v>46044</v>
      </c>
      <c r="D651" s="108">
        <f>'Detailed Report'!P647</f>
        <v>3413680669</v>
      </c>
      <c r="E651" s="106" t="str">
        <f>'Detailed Report'!S647</f>
        <v>Successful</v>
      </c>
      <c r="F651" s="109">
        <f>IF(E651=$E$6,('Detailed Report'!Y647),IF(E651=$E$5,(0),0))</f>
        <v>865.98</v>
      </c>
      <c r="G651" s="106">
        <f>IF(E651=$E$6,('Detailed Report'!AQ647),IF(E651=$E$5,('Detailed Report'!AW647),0))</f>
        <v>759.63157999999999</v>
      </c>
      <c r="H651" s="106">
        <f>'Detailed Report'!AS647</f>
        <v>189.90790000000001</v>
      </c>
      <c r="I651" s="106">
        <f>'Detailed Report'!AT647</f>
        <v>26.587105999999999</v>
      </c>
      <c r="J651" s="106">
        <f>'Detailed Report'!AO647</f>
        <v>15.15465</v>
      </c>
      <c r="K651" s="106">
        <f>'Detailed Report'!AP647</f>
        <v>2.121651</v>
      </c>
      <c r="L651" s="106">
        <f>'Detailed Report'!AU647/1.14</f>
        <v>30.692982456140356</v>
      </c>
      <c r="M651" s="106">
        <f>'Detailed Report'!AU647-L651</f>
        <v>4.2970175438596456</v>
      </c>
      <c r="N651" s="110">
        <f>'Detailed Report'!AW647</f>
        <v>597.21900000000005</v>
      </c>
      <c r="O651" s="111">
        <f t="shared" si="56"/>
        <v>162.41257999999993</v>
      </c>
      <c r="P651" s="110">
        <f>'Detailed Report'!AM647</f>
        <v>0</v>
      </c>
      <c r="Q651" s="110">
        <f>'Detailed Report'!AN647</f>
        <v>0</v>
      </c>
      <c r="R651" s="110">
        <f>'Detailed Report'!AU647/1.14</f>
        <v>30.692982456140356</v>
      </c>
      <c r="S651" s="110">
        <f>'Detailed Report'!AU647-'........... - Otlob'!R651</f>
        <v>4.2970175438596456</v>
      </c>
    </row>
    <row r="652" spans="1:19" ht="14.45" customHeight="1" x14ac:dyDescent="0.25">
      <c r="A652" s="105">
        <f>+IF(B652="","",SUBTOTAL(3,B$8:B652))</f>
        <v>645</v>
      </c>
      <c r="B652" s="106" t="str">
        <f>'Detailed Report'!O648</f>
        <v>Fuddruckers - Concord Plaza Mall</v>
      </c>
      <c r="C652" s="107">
        <f>TRUNC('Detailed Report'!Q648,0)</f>
        <v>46044</v>
      </c>
      <c r="D652" s="108">
        <f>'Detailed Report'!P648</f>
        <v>3413691303</v>
      </c>
      <c r="E652" s="106" t="str">
        <f>'Detailed Report'!S648</f>
        <v>Charged Cancelled</v>
      </c>
      <c r="F652" s="109">
        <f>IF(E652=$E$6,('Detailed Report'!Y648),IF(E652=$E$5,(0),0))</f>
        <v>0</v>
      </c>
      <c r="G652" s="106">
        <f>IF(E652=$E$6,('Detailed Report'!AQ648),IF(E652=$E$5,('Detailed Report'!AW648),0))</f>
        <v>-211</v>
      </c>
      <c r="H652" s="106">
        <f>'Detailed Report'!AS648</f>
        <v>185.08771999999999</v>
      </c>
      <c r="I652" s="106">
        <f>'Detailed Report'!AT648</f>
        <v>25.912280800000001</v>
      </c>
      <c r="J652" s="106">
        <f>'Detailed Report'!AO648</f>
        <v>0</v>
      </c>
      <c r="K652" s="106">
        <f>'Detailed Report'!AP648</f>
        <v>0</v>
      </c>
      <c r="L652" s="106">
        <f>'Detailed Report'!AU648/1.14</f>
        <v>0</v>
      </c>
      <c r="M652" s="106">
        <f>'Detailed Report'!AU648-L652</f>
        <v>0</v>
      </c>
      <c r="N652" s="110">
        <f>'Detailed Report'!AW648</f>
        <v>-211</v>
      </c>
      <c r="O652" s="111">
        <f t="shared" si="56"/>
        <v>0</v>
      </c>
      <c r="P652" s="110">
        <f>'Detailed Report'!AM648</f>
        <v>0</v>
      </c>
      <c r="Q652" s="110">
        <f>'Detailed Report'!AN648</f>
        <v>0</v>
      </c>
      <c r="R652" s="110">
        <f>'Detailed Report'!AU648/1.14</f>
        <v>0</v>
      </c>
      <c r="S652" s="110">
        <f>'Detailed Report'!AU648-'........... - Otlob'!R652</f>
        <v>0</v>
      </c>
    </row>
    <row r="653" spans="1:19" ht="14.45" customHeight="1" x14ac:dyDescent="0.25">
      <c r="A653" s="105">
        <f>+IF(B653="","",SUBTOTAL(3,B$8:B653))</f>
        <v>646</v>
      </c>
      <c r="B653" s="106" t="str">
        <f>'Detailed Report'!O649</f>
        <v>Fuddruckers - New Maadi</v>
      </c>
      <c r="C653" s="107">
        <f>TRUNC('Detailed Report'!Q649,0)</f>
        <v>46044</v>
      </c>
      <c r="D653" s="108">
        <f>'Detailed Report'!P649</f>
        <v>3413694730</v>
      </c>
      <c r="E653" s="106" t="str">
        <f>'Detailed Report'!S649</f>
        <v>Successful</v>
      </c>
      <c r="F653" s="109">
        <f>IF(E653=$E$6,('Detailed Report'!Y649),IF(E653=$E$5,(0),0))</f>
        <v>551.99</v>
      </c>
      <c r="G653" s="106">
        <f>IF(E653=$E$6,('Detailed Report'!AQ649),IF(E653=$E$5,('Detailed Report'!AW649),0))</f>
        <v>484.20175</v>
      </c>
      <c r="H653" s="106">
        <f>'Detailed Report'!AS649</f>
        <v>121.05043999999999</v>
      </c>
      <c r="I653" s="106">
        <f>'Detailed Report'!AT649</f>
        <v>16.947061600000001</v>
      </c>
      <c r="J653" s="106">
        <f>'Detailed Report'!AO649</f>
        <v>0</v>
      </c>
      <c r="K653" s="106">
        <f>'Detailed Report'!AP649</f>
        <v>0</v>
      </c>
      <c r="L653" s="106">
        <f>'Detailed Report'!AU649/1.14</f>
        <v>23.67543859649123</v>
      </c>
      <c r="M653" s="106">
        <f>'Detailed Report'!AU649-L653</f>
        <v>3.3145614035087689</v>
      </c>
      <c r="N653" s="110">
        <f>'Detailed Report'!AW649</f>
        <v>387.00200000000001</v>
      </c>
      <c r="O653" s="111">
        <f t="shared" si="56"/>
        <v>97.199749999999995</v>
      </c>
      <c r="P653" s="110">
        <f>'Detailed Report'!AM649</f>
        <v>0</v>
      </c>
      <c r="Q653" s="110">
        <f>'Detailed Report'!AN649</f>
        <v>0</v>
      </c>
      <c r="R653" s="110">
        <f>'Detailed Report'!AU649/1.14</f>
        <v>23.67543859649123</v>
      </c>
      <c r="S653" s="110">
        <f>'Detailed Report'!AU649-'........... - Otlob'!R653</f>
        <v>3.3145614035087689</v>
      </c>
    </row>
    <row r="654" spans="1:19" ht="14.45" customHeight="1" x14ac:dyDescent="0.25">
      <c r="A654" s="105">
        <f>+IF(B654="","",SUBTOTAL(3,B$8:B654))</f>
        <v>647</v>
      </c>
      <c r="B654" s="106" t="str">
        <f>'Detailed Report'!O650</f>
        <v>Fuddruckers - New Maadi</v>
      </c>
      <c r="C654" s="107">
        <f>TRUNC('Detailed Report'!Q650,0)</f>
        <v>46044</v>
      </c>
      <c r="D654" s="108">
        <f>'Detailed Report'!P650</f>
        <v>3413717460</v>
      </c>
      <c r="E654" s="106" t="str">
        <f>'Detailed Report'!S650</f>
        <v>Successful</v>
      </c>
      <c r="F654" s="109">
        <f>IF(E654=$E$6,('Detailed Report'!Y650),IF(E654=$E$5,(0),0))</f>
        <v>944.98</v>
      </c>
      <c r="G654" s="106">
        <f>IF(E654=$E$6,('Detailed Report'!AQ650),IF(E654=$E$5,('Detailed Report'!AW650),0))</f>
        <v>828.92981999999995</v>
      </c>
      <c r="H654" s="106">
        <f>'Detailed Report'!AS650</f>
        <v>207.23246</v>
      </c>
      <c r="I654" s="106">
        <f>'Detailed Report'!AT650</f>
        <v>29.012544399999999</v>
      </c>
      <c r="J654" s="106">
        <f>'Detailed Report'!AO650</f>
        <v>16.53715</v>
      </c>
      <c r="K654" s="106">
        <f>'Detailed Report'!AP650</f>
        <v>2.3152010000000001</v>
      </c>
      <c r="L654" s="106">
        <f>'Detailed Report'!AU650/1.14</f>
        <v>23.67543859649123</v>
      </c>
      <c r="M654" s="106">
        <f>'Detailed Report'!AU650-L654</f>
        <v>3.3145614035087689</v>
      </c>
      <c r="N654" s="110">
        <f>'Detailed Report'!AW650</f>
        <v>662.89300000000003</v>
      </c>
      <c r="O654" s="111">
        <f t="shared" si="56"/>
        <v>166.03681999999992</v>
      </c>
      <c r="P654" s="110">
        <f>'Detailed Report'!AM650</f>
        <v>0</v>
      </c>
      <c r="Q654" s="110">
        <f>'Detailed Report'!AN650</f>
        <v>0</v>
      </c>
      <c r="R654" s="110">
        <f>'Detailed Report'!AU650/1.14</f>
        <v>23.67543859649123</v>
      </c>
      <c r="S654" s="110">
        <f>'Detailed Report'!AU650-'........... - Otlob'!R654</f>
        <v>3.3145614035087689</v>
      </c>
    </row>
    <row r="655" spans="1:19" ht="14.45" customHeight="1" x14ac:dyDescent="0.25">
      <c r="A655" s="105">
        <f>+IF(B655="","",SUBTOTAL(3,B$8:B655))</f>
        <v>648</v>
      </c>
      <c r="B655" s="106" t="str">
        <f>'Detailed Report'!O651</f>
        <v>Fuddruckers - Concord Plaza Mall</v>
      </c>
      <c r="C655" s="107">
        <f>TRUNC('Detailed Report'!Q651,0)</f>
        <v>46044</v>
      </c>
      <c r="D655" s="108">
        <f>'Detailed Report'!P651</f>
        <v>3413726589</v>
      </c>
      <c r="E655" s="106" t="str">
        <f>'Detailed Report'!S651</f>
        <v>Successful</v>
      </c>
      <c r="F655" s="109">
        <f>IF(E655=$E$6,('Detailed Report'!Y651),IF(E655=$E$5,(0),0))</f>
        <v>1800.97</v>
      </c>
      <c r="G655" s="106">
        <f>IF(E655=$E$6,('Detailed Report'!AQ651),IF(E655=$E$5,('Detailed Report'!AW651),0))</f>
        <v>1579.7982500000001</v>
      </c>
      <c r="H655" s="106">
        <f>'Detailed Report'!AS651</f>
        <v>394.94956000000002</v>
      </c>
      <c r="I655" s="106">
        <f>'Detailed Report'!AT651</f>
        <v>55.292938399999997</v>
      </c>
      <c r="J655" s="106">
        <f>'Detailed Report'!AO651</f>
        <v>31.516974999999999</v>
      </c>
      <c r="K655" s="106">
        <f>'Detailed Report'!AP651</f>
        <v>4.4123764999999997</v>
      </c>
      <c r="L655" s="106">
        <f>'Detailed Report'!AU651/1.14</f>
        <v>0</v>
      </c>
      <c r="M655" s="106">
        <f>'Detailed Report'!AU651-L655</f>
        <v>0</v>
      </c>
      <c r="N655" s="110">
        <f>'Detailed Report'!AW651</f>
        <v>1314.798</v>
      </c>
      <c r="O655" s="111">
        <f t="shared" si="56"/>
        <v>265.00025000000005</v>
      </c>
      <c r="P655" s="110">
        <f>'Detailed Report'!AM651</f>
        <v>0</v>
      </c>
      <c r="Q655" s="110">
        <f>'Detailed Report'!AN651</f>
        <v>0</v>
      </c>
      <c r="R655" s="110">
        <f>'Detailed Report'!AU651/1.14</f>
        <v>0</v>
      </c>
      <c r="S655" s="110">
        <f>'Detailed Report'!AU651-'........... - Otlob'!R655</f>
        <v>0</v>
      </c>
    </row>
    <row r="656" spans="1:19" ht="14.45" customHeight="1" x14ac:dyDescent="0.25">
      <c r="A656" s="105">
        <f>+IF(B656="","",SUBTOTAL(3,B$8:B656))</f>
        <v>649</v>
      </c>
      <c r="B656" s="106" t="str">
        <f>'Detailed Report'!O652</f>
        <v>Fuddruckers - New Maadi</v>
      </c>
      <c r="C656" s="107">
        <f>TRUNC('Detailed Report'!Q652,0)</f>
        <v>46044</v>
      </c>
      <c r="D656" s="108">
        <f>'Detailed Report'!P652</f>
        <v>3413809010</v>
      </c>
      <c r="E656" s="106" t="str">
        <f>'Detailed Report'!S652</f>
        <v>Successful</v>
      </c>
      <c r="F656" s="109">
        <f>IF(E656=$E$6,('Detailed Report'!Y652),IF(E656=$E$5,(0),0))</f>
        <v>959.97</v>
      </c>
      <c r="G656" s="106">
        <f>IF(E656=$E$6,('Detailed Report'!AQ652),IF(E656=$E$5,('Detailed Report'!AW652),0))</f>
        <v>842.07894999999996</v>
      </c>
      <c r="H656" s="106">
        <f>'Detailed Report'!AS652</f>
        <v>210.51974000000001</v>
      </c>
      <c r="I656" s="106">
        <f>'Detailed Report'!AT652</f>
        <v>29.4727636</v>
      </c>
      <c r="J656" s="106">
        <f>'Detailed Report'!AO652</f>
        <v>16.799475000000001</v>
      </c>
      <c r="K656" s="106">
        <f>'Detailed Report'!AP652</f>
        <v>2.3519264999999998</v>
      </c>
      <c r="L656" s="106">
        <f>'Detailed Report'!AU652/1.14</f>
        <v>24.55263157894737</v>
      </c>
      <c r="M656" s="106">
        <f>'Detailed Report'!AU652-L656</f>
        <v>3.4373684210526285</v>
      </c>
      <c r="N656" s="110">
        <f>'Detailed Report'!AW652</f>
        <v>672.83600000000001</v>
      </c>
      <c r="O656" s="111">
        <f t="shared" si="56"/>
        <v>169.24294999999995</v>
      </c>
      <c r="P656" s="110">
        <f>'Detailed Report'!AM652</f>
        <v>0</v>
      </c>
      <c r="Q656" s="110">
        <f>'Detailed Report'!AN652</f>
        <v>0</v>
      </c>
      <c r="R656" s="110">
        <f>'Detailed Report'!AU652/1.14</f>
        <v>24.55263157894737</v>
      </c>
      <c r="S656" s="110">
        <f>'Detailed Report'!AU652-'........... - Otlob'!R656</f>
        <v>3.4373684210526285</v>
      </c>
    </row>
    <row r="657" spans="1:19" ht="14.45" customHeight="1" x14ac:dyDescent="0.25">
      <c r="A657" s="105">
        <f>+IF(B657="","",SUBTOTAL(3,B$8:B657))</f>
        <v>650</v>
      </c>
      <c r="B657" s="106" t="str">
        <f>'Detailed Report'!O653</f>
        <v>Fuddruckers - New Maadi</v>
      </c>
      <c r="C657" s="107">
        <f>TRUNC('Detailed Report'!Q653,0)</f>
        <v>46044</v>
      </c>
      <c r="D657" s="108">
        <f>'Detailed Report'!P653</f>
        <v>3413814606</v>
      </c>
      <c r="E657" s="106" t="str">
        <f>'Detailed Report'!S653</f>
        <v>Successful</v>
      </c>
      <c r="F657" s="109">
        <f>IF(E657=$E$6,('Detailed Report'!Y653),IF(E657=$E$5,(0),0))</f>
        <v>765.98</v>
      </c>
      <c r="G657" s="106">
        <f>IF(E657=$E$6,('Detailed Report'!AQ653),IF(E657=$E$5,('Detailed Report'!AW653),0))</f>
        <v>671.91228000000001</v>
      </c>
      <c r="H657" s="106">
        <f>'Detailed Report'!AS653</f>
        <v>167.97807</v>
      </c>
      <c r="I657" s="106">
        <f>'Detailed Report'!AT653</f>
        <v>23.5169298</v>
      </c>
      <c r="J657" s="106">
        <f>'Detailed Report'!AO653</f>
        <v>13.40465</v>
      </c>
      <c r="K657" s="106">
        <f>'Detailed Report'!AP653</f>
        <v>1.8766510000000001</v>
      </c>
      <c r="L657" s="106">
        <f>'Detailed Report'!AU653/1.14</f>
        <v>0</v>
      </c>
      <c r="M657" s="106">
        <f>'Detailed Report'!AU653-L657</f>
        <v>0</v>
      </c>
      <c r="N657" s="110">
        <f>'Detailed Report'!AW653</f>
        <v>559.20399999999995</v>
      </c>
      <c r="O657" s="111">
        <f t="shared" si="56"/>
        <v>112.70828000000006</v>
      </c>
      <c r="P657" s="110">
        <f>'Detailed Report'!AM653</f>
        <v>0</v>
      </c>
      <c r="Q657" s="110">
        <f>'Detailed Report'!AN653</f>
        <v>0</v>
      </c>
      <c r="R657" s="110">
        <f>'Detailed Report'!AU653/1.14</f>
        <v>0</v>
      </c>
      <c r="S657" s="110">
        <f>'Detailed Report'!AU653-'........... - Otlob'!R657</f>
        <v>0</v>
      </c>
    </row>
    <row r="658" spans="1:19" ht="14.45" customHeight="1" x14ac:dyDescent="0.25">
      <c r="A658" s="105">
        <f>+IF(B658="","",SUBTOTAL(3,B$8:B658))</f>
        <v>651</v>
      </c>
      <c r="B658" s="106" t="str">
        <f>'Detailed Report'!O654</f>
        <v>Fuddruckers - Concord Plaza Mall</v>
      </c>
      <c r="C658" s="107">
        <f>TRUNC('Detailed Report'!Q654,0)</f>
        <v>46044</v>
      </c>
      <c r="D658" s="108">
        <f>'Detailed Report'!P654</f>
        <v>3413866173</v>
      </c>
      <c r="E658" s="106" t="str">
        <f>'Detailed Report'!S654</f>
        <v>Successful</v>
      </c>
      <c r="F658" s="109">
        <f>IF(E658=$E$6,('Detailed Report'!Y654),IF(E658=$E$5,(0),0))</f>
        <v>389.99</v>
      </c>
      <c r="G658" s="106">
        <f>IF(E658=$E$6,('Detailed Report'!AQ654),IF(E658=$E$5,('Detailed Report'!AW654),0))</f>
        <v>342.09649000000002</v>
      </c>
      <c r="H658" s="106">
        <f>'Detailed Report'!AS654</f>
        <v>85.524119999999996</v>
      </c>
      <c r="I658" s="106">
        <f>'Detailed Report'!AT654</f>
        <v>11.9733768</v>
      </c>
      <c r="J658" s="106">
        <f>'Detailed Report'!AO654</f>
        <v>6.8248249999999997</v>
      </c>
      <c r="K658" s="106">
        <f>'Detailed Report'!AP654</f>
        <v>0.95547550000000003</v>
      </c>
      <c r="L658" s="106">
        <f>'Detailed Report'!AU654/1.14</f>
        <v>28.938596491228076</v>
      </c>
      <c r="M658" s="106">
        <f>'Detailed Report'!AU654-L658</f>
        <v>4.0514035087719265</v>
      </c>
      <c r="N658" s="110">
        <f>'Detailed Report'!AW654</f>
        <v>251.72200000000001</v>
      </c>
      <c r="O658" s="111">
        <f t="shared" si="56"/>
        <v>90.374490000000009</v>
      </c>
      <c r="P658" s="110">
        <f>'Detailed Report'!AM654</f>
        <v>0</v>
      </c>
      <c r="Q658" s="110">
        <f>'Detailed Report'!AN654</f>
        <v>0</v>
      </c>
      <c r="R658" s="110">
        <f>'Detailed Report'!AU654/1.14</f>
        <v>28.938596491228076</v>
      </c>
      <c r="S658" s="110">
        <f>'Detailed Report'!AU654-'........... - Otlob'!R658</f>
        <v>4.0514035087719265</v>
      </c>
    </row>
    <row r="659" spans="1:19" ht="14.45" customHeight="1" x14ac:dyDescent="0.25">
      <c r="A659" s="105">
        <f>+IF(B659="","",SUBTOTAL(3,B$8:B659))</f>
        <v>652</v>
      </c>
      <c r="B659" s="106" t="str">
        <f>'Detailed Report'!O655</f>
        <v>Fuddruckers - New Maadi</v>
      </c>
      <c r="C659" s="107">
        <f>TRUNC('Detailed Report'!Q655,0)</f>
        <v>46044</v>
      </c>
      <c r="D659" s="108">
        <f>'Detailed Report'!P655</f>
        <v>3413917397</v>
      </c>
      <c r="E659" s="106" t="str">
        <f>'Detailed Report'!S655</f>
        <v>Successful</v>
      </c>
      <c r="F659" s="109">
        <f>IF(E659=$E$6,('Detailed Report'!Y655),IF(E659=$E$5,(0),0))</f>
        <v>239.99</v>
      </c>
      <c r="G659" s="106">
        <f>IF(E659=$E$6,('Detailed Report'!AQ655),IF(E659=$E$5,('Detailed Report'!AW655),0))</f>
        <v>210.51754</v>
      </c>
      <c r="H659" s="106">
        <f>'Detailed Report'!AS655</f>
        <v>52.629390000000001</v>
      </c>
      <c r="I659" s="106">
        <f>'Detailed Report'!AT655</f>
        <v>7.3681146000000002</v>
      </c>
      <c r="J659" s="106">
        <f>'Detailed Report'!AO655</f>
        <v>0</v>
      </c>
      <c r="K659" s="106">
        <f>'Detailed Report'!AP655</f>
        <v>0</v>
      </c>
      <c r="L659" s="106">
        <f>'Detailed Report'!AU655/1.14</f>
        <v>0</v>
      </c>
      <c r="M659" s="106">
        <f>'Detailed Report'!AU655-L659</f>
        <v>0</v>
      </c>
      <c r="N659" s="110">
        <f>'Detailed Report'!AW655</f>
        <v>179.99199999999999</v>
      </c>
      <c r="O659" s="111">
        <f t="shared" si="56"/>
        <v>30.525540000000007</v>
      </c>
      <c r="P659" s="110">
        <f>'Detailed Report'!AM655</f>
        <v>0</v>
      </c>
      <c r="Q659" s="110">
        <f>'Detailed Report'!AN655</f>
        <v>0</v>
      </c>
      <c r="R659" s="110">
        <f>'Detailed Report'!AU655/1.14</f>
        <v>0</v>
      </c>
      <c r="S659" s="110">
        <f>'Detailed Report'!AU655-'........... - Otlob'!R659</f>
        <v>0</v>
      </c>
    </row>
    <row r="660" spans="1:19" ht="14.45" customHeight="1" x14ac:dyDescent="0.25">
      <c r="A660" s="105">
        <f>+IF(B660="","",SUBTOTAL(3,B$8:B660))</f>
        <v>653</v>
      </c>
      <c r="B660" s="106" t="str">
        <f>'Detailed Report'!O656</f>
        <v>Fuddruckers - City Stars</v>
      </c>
      <c r="C660" s="107">
        <f>TRUNC('Detailed Report'!Q656,0)</f>
        <v>46044</v>
      </c>
      <c r="D660" s="108">
        <f>'Detailed Report'!P656</f>
        <v>3413924192</v>
      </c>
      <c r="E660" s="106" t="str">
        <f>'Detailed Report'!S656</f>
        <v>Successful</v>
      </c>
      <c r="F660" s="109">
        <f>IF(E660=$E$6,('Detailed Report'!Y656),IF(E660=$E$5,(0),0))</f>
        <v>275.99</v>
      </c>
      <c r="G660" s="106">
        <f>IF(E660=$E$6,('Detailed Report'!AQ656),IF(E660=$E$5,('Detailed Report'!AW656),0))</f>
        <v>242.09648999999999</v>
      </c>
      <c r="H660" s="106">
        <f>'Detailed Report'!AS656</f>
        <v>60.524120000000003</v>
      </c>
      <c r="I660" s="106">
        <f>'Detailed Report'!AT656</f>
        <v>8.4733768000000005</v>
      </c>
      <c r="J660" s="106">
        <f>'Detailed Report'!AO656</f>
        <v>4.8298249999999996</v>
      </c>
      <c r="K660" s="106">
        <f>'Detailed Report'!AP656</f>
        <v>0.67617550000000004</v>
      </c>
      <c r="L660" s="106">
        <f>'Detailed Report'!AU656/1.14</f>
        <v>0</v>
      </c>
      <c r="M660" s="106">
        <f>'Detailed Report'!AU656-L660</f>
        <v>0</v>
      </c>
      <c r="N660" s="110">
        <f>'Detailed Report'!AW656</f>
        <v>201.48699999999999</v>
      </c>
      <c r="O660" s="111">
        <f t="shared" si="56"/>
        <v>40.609489999999994</v>
      </c>
      <c r="P660" s="110">
        <f>'Detailed Report'!AM656</f>
        <v>0</v>
      </c>
      <c r="Q660" s="110">
        <f>'Detailed Report'!AN656</f>
        <v>0</v>
      </c>
      <c r="R660" s="110">
        <f>'Detailed Report'!AU656/1.14</f>
        <v>0</v>
      </c>
      <c r="S660" s="110">
        <f>'Detailed Report'!AU656-'........... - Otlob'!R660</f>
        <v>0</v>
      </c>
    </row>
    <row r="661" spans="1:19" ht="14.45" customHeight="1" x14ac:dyDescent="0.25">
      <c r="A661" s="105">
        <f>+IF(B661="","",SUBTOTAL(3,B$8:B661))</f>
        <v>654</v>
      </c>
      <c r="B661" s="106" t="str">
        <f>'Detailed Report'!O657</f>
        <v>Fuddruckers - Concord Plaza Mall</v>
      </c>
      <c r="C661" s="107">
        <f>TRUNC('Detailed Report'!Q657,0)</f>
        <v>46044</v>
      </c>
      <c r="D661" s="108">
        <f>'Detailed Report'!P657</f>
        <v>3413943042</v>
      </c>
      <c r="E661" s="106" t="str">
        <f>'Detailed Report'!S657</f>
        <v>Successful</v>
      </c>
      <c r="F661" s="109">
        <f>IF(E661=$E$6,('Detailed Report'!Y657),IF(E661=$E$5,(0),0))</f>
        <v>767.99</v>
      </c>
      <c r="G661" s="106">
        <f>IF(E661=$E$6,('Detailed Report'!AQ657),IF(E661=$E$5,('Detailed Report'!AW657),0))</f>
        <v>673.67543999999998</v>
      </c>
      <c r="H661" s="106">
        <f>'Detailed Report'!AS657</f>
        <v>168.41886</v>
      </c>
      <c r="I661" s="106">
        <f>'Detailed Report'!AT657</f>
        <v>23.578640400000001</v>
      </c>
      <c r="J661" s="106">
        <f>'Detailed Report'!AO657</f>
        <v>13.439825000000001</v>
      </c>
      <c r="K661" s="106">
        <f>'Detailed Report'!AP657</f>
        <v>1.8815755000000001</v>
      </c>
      <c r="L661" s="106">
        <f>'Detailed Report'!AU657/1.14</f>
        <v>29.815789473684216</v>
      </c>
      <c r="M661" s="106">
        <f>'Detailed Report'!AU657-L661</f>
        <v>4.174210526315786</v>
      </c>
      <c r="N661" s="110">
        <f>'Detailed Report'!AW657</f>
        <v>526.68100000000004</v>
      </c>
      <c r="O661" s="111">
        <f t="shared" si="56"/>
        <v>146.99443999999994</v>
      </c>
      <c r="P661" s="110">
        <f>'Detailed Report'!AM657</f>
        <v>0</v>
      </c>
      <c r="Q661" s="110">
        <f>'Detailed Report'!AN657</f>
        <v>0</v>
      </c>
      <c r="R661" s="110">
        <f>'Detailed Report'!AU657/1.14</f>
        <v>29.815789473684216</v>
      </c>
      <c r="S661" s="110">
        <f>'Detailed Report'!AU657-'........... - Otlob'!R661</f>
        <v>4.174210526315786</v>
      </c>
    </row>
    <row r="662" spans="1:19" ht="14.45" customHeight="1" x14ac:dyDescent="0.25">
      <c r="A662" s="105">
        <f>+IF(B662="","",SUBTOTAL(3,B$8:B662))</f>
        <v>655</v>
      </c>
      <c r="B662" s="106" t="str">
        <f>'Detailed Report'!O658</f>
        <v>Fuddruckers - Concord Plaza Mall</v>
      </c>
      <c r="C662" s="107">
        <f>TRUNC('Detailed Report'!Q658,0)</f>
        <v>46044</v>
      </c>
      <c r="D662" s="108">
        <f>'Detailed Report'!P658</f>
        <v>3413962947</v>
      </c>
      <c r="E662" s="106" t="str">
        <f>'Detailed Report'!S658</f>
        <v>Successful</v>
      </c>
      <c r="F662" s="109">
        <f>IF(E662=$E$6,('Detailed Report'!Y658),IF(E662=$E$5,(0),0))</f>
        <v>319</v>
      </c>
      <c r="G662" s="106">
        <f>IF(E662=$E$6,('Detailed Report'!AQ658),IF(E662=$E$5,('Detailed Report'!AW658),0))</f>
        <v>279.82456000000002</v>
      </c>
      <c r="H662" s="106">
        <f>'Detailed Report'!AS658</f>
        <v>69.956140000000005</v>
      </c>
      <c r="I662" s="106">
        <f>'Detailed Report'!AT658</f>
        <v>9.7938595999999993</v>
      </c>
      <c r="J662" s="106">
        <f>'Detailed Report'!AO658</f>
        <v>0</v>
      </c>
      <c r="K662" s="106">
        <f>'Detailed Report'!AP658</f>
        <v>0</v>
      </c>
      <c r="L662" s="106">
        <f>'Detailed Report'!AU658/1.14</f>
        <v>0</v>
      </c>
      <c r="M662" s="106">
        <f>'Detailed Report'!AU658-L662</f>
        <v>0</v>
      </c>
      <c r="N662" s="110">
        <f>'Detailed Report'!AW658</f>
        <v>239.25</v>
      </c>
      <c r="O662" s="111">
        <f t="shared" si="56"/>
        <v>40.574560000000019</v>
      </c>
      <c r="P662" s="110">
        <f>'Detailed Report'!AM658</f>
        <v>0</v>
      </c>
      <c r="Q662" s="110">
        <f>'Detailed Report'!AN658</f>
        <v>0</v>
      </c>
      <c r="R662" s="110">
        <f>'Detailed Report'!AU658/1.14</f>
        <v>0</v>
      </c>
      <c r="S662" s="110">
        <f>'Detailed Report'!AU658-'........... - Otlob'!R662</f>
        <v>0</v>
      </c>
    </row>
    <row r="663" spans="1:19" ht="14.45" customHeight="1" x14ac:dyDescent="0.25">
      <c r="A663" s="105">
        <f>+IF(B663="","",SUBTOTAL(3,B$8:B663))</f>
        <v>656</v>
      </c>
      <c r="B663" s="106" t="str">
        <f>'Detailed Report'!O659</f>
        <v>Fuddruckers - City Stars</v>
      </c>
      <c r="C663" s="107">
        <f>TRUNC('Detailed Report'!Q659,0)</f>
        <v>46044</v>
      </c>
      <c r="D663" s="108">
        <f>'Detailed Report'!P659</f>
        <v>3414083818</v>
      </c>
      <c r="E663" s="106" t="str">
        <f>'Detailed Report'!S659</f>
        <v>Successful</v>
      </c>
      <c r="F663" s="109">
        <f>IF(E663=$E$6,('Detailed Report'!Y659),IF(E663=$E$5,(0),0))</f>
        <v>269.99</v>
      </c>
      <c r="G663" s="106">
        <f>IF(E663=$E$6,('Detailed Report'!AQ659),IF(E663=$E$5,('Detailed Report'!AW659),0))</f>
        <v>236.83332999999999</v>
      </c>
      <c r="H663" s="106">
        <f>'Detailed Report'!AS659</f>
        <v>59.208329999999997</v>
      </c>
      <c r="I663" s="106">
        <f>'Detailed Report'!AT659</f>
        <v>8.2891662000000004</v>
      </c>
      <c r="J663" s="106">
        <f>'Detailed Report'!AO659</f>
        <v>4.7248250000000001</v>
      </c>
      <c r="K663" s="106">
        <f>'Detailed Report'!AP659</f>
        <v>0.66147549999999999</v>
      </c>
      <c r="L663" s="106">
        <f>'Detailed Report'!AU659/1.14</f>
        <v>26.307017543859651</v>
      </c>
      <c r="M663" s="106">
        <f>'Detailed Report'!AU659-L663</f>
        <v>3.6829824561403477</v>
      </c>
      <c r="N663" s="110">
        <f>'Detailed Report'!AW659</f>
        <v>132.916</v>
      </c>
      <c r="O663" s="111">
        <f t="shared" si="56"/>
        <v>103.91732999999999</v>
      </c>
      <c r="P663" s="110">
        <f>'Detailed Report'!AM659</f>
        <v>30</v>
      </c>
      <c r="Q663" s="110">
        <f>'Detailed Report'!AN659</f>
        <v>4.2</v>
      </c>
      <c r="R663" s="110">
        <f>'Detailed Report'!AU659/1.14</f>
        <v>26.307017543859651</v>
      </c>
      <c r="S663" s="110">
        <f>'Detailed Report'!AU659-'........... - Otlob'!R663</f>
        <v>3.6829824561403477</v>
      </c>
    </row>
    <row r="664" spans="1:19" ht="14.45" customHeight="1" x14ac:dyDescent="0.25">
      <c r="A664" s="105">
        <f>+IF(B664="","",SUBTOTAL(3,B$8:B664))</f>
        <v>657</v>
      </c>
      <c r="B664" s="106" t="str">
        <f>'Detailed Report'!O660</f>
        <v>Fuddruckers - New Maadi</v>
      </c>
      <c r="C664" s="107">
        <f>TRUNC('Detailed Report'!Q660,0)</f>
        <v>46044</v>
      </c>
      <c r="D664" s="108">
        <f>'Detailed Report'!P660</f>
        <v>3414088798</v>
      </c>
      <c r="E664" s="106" t="str">
        <f>'Detailed Report'!S660</f>
        <v>Successful</v>
      </c>
      <c r="F664" s="109">
        <f>IF(E664=$E$6,('Detailed Report'!Y660),IF(E664=$E$5,(0),0))</f>
        <v>2539.9699999999998</v>
      </c>
      <c r="G664" s="106">
        <f>IF(E664=$E$6,('Detailed Report'!AQ660),IF(E664=$E$5,('Detailed Report'!AW660),0))</f>
        <v>2228.0438600000002</v>
      </c>
      <c r="H664" s="106">
        <f>'Detailed Report'!AS660</f>
        <v>557.01097000000004</v>
      </c>
      <c r="I664" s="106">
        <f>'Detailed Report'!AT660</f>
        <v>77.981535800000003</v>
      </c>
      <c r="J664" s="106">
        <f>'Detailed Report'!AO660</f>
        <v>44.449475</v>
      </c>
      <c r="K664" s="106">
        <f>'Detailed Report'!AP660</f>
        <v>6.2229264999999998</v>
      </c>
      <c r="L664" s="106">
        <f>'Detailed Report'!AU660/1.14</f>
        <v>0</v>
      </c>
      <c r="M664" s="106">
        <f>'Detailed Report'!AU660-L664</f>
        <v>0</v>
      </c>
      <c r="N664" s="110">
        <f>'Detailed Report'!AW660</f>
        <v>1854.3050000000001</v>
      </c>
      <c r="O664" s="111">
        <f t="shared" si="56"/>
        <v>373.73886000000016</v>
      </c>
      <c r="P664" s="110">
        <f>'Detailed Report'!AM660</f>
        <v>0</v>
      </c>
      <c r="Q664" s="110">
        <f>'Detailed Report'!AN660</f>
        <v>0</v>
      </c>
      <c r="R664" s="110">
        <f>'Detailed Report'!AU660/1.14</f>
        <v>0</v>
      </c>
      <c r="S664" s="110">
        <f>'Detailed Report'!AU660-'........... - Otlob'!R664</f>
        <v>0</v>
      </c>
    </row>
    <row r="665" spans="1:19" ht="14.45" customHeight="1" x14ac:dyDescent="0.25">
      <c r="A665" s="105">
        <f>+IF(B665="","",SUBTOTAL(3,B$8:B665))</f>
        <v>658</v>
      </c>
      <c r="B665" s="106" t="str">
        <f>'Detailed Report'!O661</f>
        <v>Fuddruckers - Concord Plaza Mall</v>
      </c>
      <c r="C665" s="107">
        <f>TRUNC('Detailed Report'!Q661,0)</f>
        <v>46044</v>
      </c>
      <c r="D665" s="108">
        <f>'Detailed Report'!P661</f>
        <v>3414323761</v>
      </c>
      <c r="E665" s="106" t="str">
        <f>'Detailed Report'!S661</f>
        <v>Successful</v>
      </c>
      <c r="F665" s="109">
        <f>IF(E665=$E$6,('Detailed Report'!Y661),IF(E665=$E$5,(0),0))</f>
        <v>640.17999999999995</v>
      </c>
      <c r="G665" s="106">
        <f>IF(E665=$E$6,('Detailed Report'!AQ661),IF(E665=$E$5,('Detailed Report'!AW661),0))</f>
        <v>561.56140000000005</v>
      </c>
      <c r="H665" s="106">
        <f>'Detailed Report'!AS661</f>
        <v>140.39035000000001</v>
      </c>
      <c r="I665" s="106">
        <f>'Detailed Report'!AT661</f>
        <v>19.654648999999999</v>
      </c>
      <c r="J665" s="106">
        <f>'Detailed Report'!AO661</f>
        <v>11.203150000000001</v>
      </c>
      <c r="K665" s="106">
        <f>'Detailed Report'!AP661</f>
        <v>1.568441</v>
      </c>
      <c r="L665" s="106">
        <f>'Detailed Report'!AU661/1.14</f>
        <v>30.692982456140356</v>
      </c>
      <c r="M665" s="106">
        <f>'Detailed Report'!AU661-L665</f>
        <v>4.2970175438596456</v>
      </c>
      <c r="N665" s="110">
        <f>'Detailed Report'!AW661</f>
        <v>432.37299999999999</v>
      </c>
      <c r="O665" s="111">
        <f t="shared" si="56"/>
        <v>129.18840000000006</v>
      </c>
      <c r="P665" s="110">
        <f>'Detailed Report'!AM661</f>
        <v>0</v>
      </c>
      <c r="Q665" s="110">
        <f>'Detailed Report'!AN661</f>
        <v>0</v>
      </c>
      <c r="R665" s="110">
        <f>'Detailed Report'!AU661/1.14</f>
        <v>30.692982456140356</v>
      </c>
      <c r="S665" s="110">
        <f>'Detailed Report'!AU661-'........... - Otlob'!R665</f>
        <v>4.2970175438596456</v>
      </c>
    </row>
    <row r="666" spans="1:19" ht="14.45" customHeight="1" x14ac:dyDescent="0.25">
      <c r="A666" s="105">
        <f>+IF(B666="","",SUBTOTAL(3,B$8:B666))</f>
        <v>659</v>
      </c>
      <c r="B666" s="106" t="str">
        <f>'Detailed Report'!O662</f>
        <v>Fuddruckers - Concord Plaza Mall</v>
      </c>
      <c r="C666" s="107">
        <f>TRUNC('Detailed Report'!Q662,0)</f>
        <v>46044</v>
      </c>
      <c r="D666" s="108">
        <f>'Detailed Report'!P662</f>
        <v>3414392005</v>
      </c>
      <c r="E666" s="106" t="str">
        <f>'Detailed Report'!S662</f>
        <v>Successful</v>
      </c>
      <c r="F666" s="109">
        <f>IF(E666=$E$6,('Detailed Report'!Y662),IF(E666=$E$5,(0),0))</f>
        <v>389.98</v>
      </c>
      <c r="G666" s="106">
        <f>IF(E666=$E$6,('Detailed Report'!AQ662),IF(E666=$E$5,('Detailed Report'!AW662),0))</f>
        <v>342.08771999999999</v>
      </c>
      <c r="H666" s="106">
        <f>'Detailed Report'!AS662</f>
        <v>85.521929999999998</v>
      </c>
      <c r="I666" s="106">
        <f>'Detailed Report'!AT662</f>
        <v>11.9730702</v>
      </c>
      <c r="J666" s="106">
        <f>'Detailed Report'!AO662</f>
        <v>6.8246500000000001</v>
      </c>
      <c r="K666" s="106">
        <f>'Detailed Report'!AP662</f>
        <v>0.95545100000000005</v>
      </c>
      <c r="L666" s="106">
        <f>'Detailed Report'!AU662/1.14</f>
        <v>27.184210526315791</v>
      </c>
      <c r="M666" s="106">
        <f>'Detailed Report'!AU662-L666</f>
        <v>3.8057894736842073</v>
      </c>
      <c r="N666" s="110">
        <f>'Detailed Report'!AW662</f>
        <v>253.715</v>
      </c>
      <c r="O666" s="111">
        <f t="shared" si="56"/>
        <v>88.372719999999987</v>
      </c>
      <c r="P666" s="110">
        <f>'Detailed Report'!AM662</f>
        <v>0</v>
      </c>
      <c r="Q666" s="110">
        <f>'Detailed Report'!AN662</f>
        <v>0</v>
      </c>
      <c r="R666" s="110">
        <f>'Detailed Report'!AU662/1.14</f>
        <v>27.184210526315791</v>
      </c>
      <c r="S666" s="110">
        <f>'Detailed Report'!AU662-'........... - Otlob'!R666</f>
        <v>3.8057894736842073</v>
      </c>
    </row>
    <row r="667" spans="1:19" ht="14.45" customHeight="1" x14ac:dyDescent="0.25">
      <c r="A667" s="105">
        <f>+IF(B667="","",SUBTOTAL(3,B$8:B667))</f>
        <v>660</v>
      </c>
      <c r="B667" s="106" t="str">
        <f>'Detailed Report'!O663</f>
        <v>Fuddruckers - City Stars</v>
      </c>
      <c r="C667" s="107">
        <f>TRUNC('Detailed Report'!Q663,0)</f>
        <v>46044</v>
      </c>
      <c r="D667" s="108">
        <f>'Detailed Report'!P663</f>
        <v>3414398869</v>
      </c>
      <c r="E667" s="106" t="str">
        <f>'Detailed Report'!S663</f>
        <v>Successful</v>
      </c>
      <c r="F667" s="109">
        <f>IF(E667=$E$6,('Detailed Report'!Y663),IF(E667=$E$5,(0),0))</f>
        <v>455.99</v>
      </c>
      <c r="G667" s="106">
        <f>IF(E667=$E$6,('Detailed Report'!AQ663),IF(E667=$E$5,('Detailed Report'!AW663),0))</f>
        <v>399.99122999999997</v>
      </c>
      <c r="H667" s="106">
        <f>'Detailed Report'!AS663</f>
        <v>99.997810000000001</v>
      </c>
      <c r="I667" s="106">
        <f>'Detailed Report'!AT663</f>
        <v>13.9996934</v>
      </c>
      <c r="J667" s="106">
        <f>'Detailed Report'!AO663</f>
        <v>7.9798249999999999</v>
      </c>
      <c r="K667" s="106">
        <f>'Detailed Report'!AP663</f>
        <v>1.1171755000000001</v>
      </c>
      <c r="L667" s="106">
        <f>'Detailed Report'!AU663/1.14</f>
        <v>0</v>
      </c>
      <c r="M667" s="106">
        <f>'Detailed Report'!AU663-L667</f>
        <v>0</v>
      </c>
      <c r="N667" s="110">
        <f>'Detailed Report'!AW663</f>
        <v>298.69499999999999</v>
      </c>
      <c r="O667" s="111">
        <f t="shared" si="56"/>
        <v>101.29622999999998</v>
      </c>
      <c r="P667" s="110">
        <f>'Detailed Report'!AM663</f>
        <v>30</v>
      </c>
      <c r="Q667" s="110">
        <f>'Detailed Report'!AN663</f>
        <v>4.2</v>
      </c>
      <c r="R667" s="110">
        <f>'Detailed Report'!AU663/1.14</f>
        <v>0</v>
      </c>
      <c r="S667" s="110">
        <f>'Detailed Report'!AU663-'........... - Otlob'!R667</f>
        <v>0</v>
      </c>
    </row>
    <row r="668" spans="1:19" ht="14.45" customHeight="1" x14ac:dyDescent="0.25">
      <c r="A668" s="105">
        <f>+IF(B668="","",SUBTOTAL(3,B$8:B668))</f>
        <v>661</v>
      </c>
      <c r="B668" s="106" t="str">
        <f>'Detailed Report'!O664</f>
        <v>Fuddruckers - Concord Plaza Mall</v>
      </c>
      <c r="C668" s="107">
        <f>TRUNC('Detailed Report'!Q664,0)</f>
        <v>46044</v>
      </c>
      <c r="D668" s="108">
        <f>'Detailed Report'!P664</f>
        <v>3414406377</v>
      </c>
      <c r="E668" s="106" t="str">
        <f>'Detailed Report'!S664</f>
        <v>Successful</v>
      </c>
      <c r="F668" s="109">
        <f>IF(E668=$E$6,('Detailed Report'!Y664),IF(E668=$E$5,(0),0))</f>
        <v>2925.91</v>
      </c>
      <c r="G668" s="106">
        <f>IF(E668=$E$6,('Detailed Report'!AQ664),IF(E668=$E$5,('Detailed Report'!AW664),0))</f>
        <v>2566.58772</v>
      </c>
      <c r="H668" s="106">
        <f>'Detailed Report'!AS664</f>
        <v>641.64693</v>
      </c>
      <c r="I668" s="106">
        <f>'Detailed Report'!AT664</f>
        <v>89.830570199999997</v>
      </c>
      <c r="J668" s="106">
        <f>'Detailed Report'!AO664</f>
        <v>51.20342325</v>
      </c>
      <c r="K668" s="106">
        <f>'Detailed Report'!AP664</f>
        <v>7.1684792550000003</v>
      </c>
      <c r="L668" s="106">
        <f>'Detailed Report'!AU664/1.14</f>
        <v>28.938596491228076</v>
      </c>
      <c r="M668" s="106">
        <f>'Detailed Report'!AU664-L668</f>
        <v>4.0514035087719265</v>
      </c>
      <c r="N668" s="110">
        <f>'Detailed Report'!AW664</f>
        <v>2103.0709999999999</v>
      </c>
      <c r="O668" s="111">
        <f t="shared" si="56"/>
        <v>463.51672000000008</v>
      </c>
      <c r="P668" s="110">
        <f>'Detailed Report'!AM664</f>
        <v>0</v>
      </c>
      <c r="Q668" s="110">
        <f>'Detailed Report'!AN664</f>
        <v>0</v>
      </c>
      <c r="R668" s="110">
        <f>'Detailed Report'!AU664/1.14</f>
        <v>28.938596491228076</v>
      </c>
      <c r="S668" s="110">
        <f>'Detailed Report'!AU664-'........... - Otlob'!R668</f>
        <v>4.0514035087719265</v>
      </c>
    </row>
    <row r="669" spans="1:19" ht="14.45" customHeight="1" x14ac:dyDescent="0.25">
      <c r="A669" s="105">
        <f>+IF(B669="","",SUBTOTAL(3,B$8:B669))</f>
        <v>662</v>
      </c>
      <c r="B669" s="106" t="str">
        <f>'Detailed Report'!O665</f>
        <v>Fuddruckers - New Maadi</v>
      </c>
      <c r="C669" s="107">
        <f>TRUNC('Detailed Report'!Q665,0)</f>
        <v>46044</v>
      </c>
      <c r="D669" s="108">
        <f>'Detailed Report'!P665</f>
        <v>3414409953</v>
      </c>
      <c r="E669" s="106" t="str">
        <f>'Detailed Report'!S665</f>
        <v>Successful</v>
      </c>
      <c r="F669" s="109">
        <f>IF(E669=$E$6,('Detailed Report'!Y665),IF(E669=$E$5,(0),0))</f>
        <v>852.98</v>
      </c>
      <c r="G669" s="106">
        <f>IF(E669=$E$6,('Detailed Report'!AQ665),IF(E669=$E$5,('Detailed Report'!AW665),0))</f>
        <v>748.22807</v>
      </c>
      <c r="H669" s="106">
        <f>'Detailed Report'!AS665</f>
        <v>187.05701999999999</v>
      </c>
      <c r="I669" s="106">
        <f>'Detailed Report'!AT665</f>
        <v>26.1879828</v>
      </c>
      <c r="J669" s="106">
        <f>'Detailed Report'!AO665</f>
        <v>14.927149999999999</v>
      </c>
      <c r="K669" s="106">
        <f>'Detailed Report'!AP665</f>
        <v>2.089801</v>
      </c>
      <c r="L669" s="106">
        <f>'Detailed Report'!AU665/1.14</f>
        <v>27.184210526315791</v>
      </c>
      <c r="M669" s="106">
        <f>'Detailed Report'!AU665-L669</f>
        <v>3.8057894736842073</v>
      </c>
      <c r="N669" s="110">
        <f>'Detailed Report'!AW665</f>
        <v>591.72799999999995</v>
      </c>
      <c r="O669" s="111">
        <f t="shared" si="56"/>
        <v>156.50007000000005</v>
      </c>
      <c r="P669" s="110">
        <f>'Detailed Report'!AM665</f>
        <v>0</v>
      </c>
      <c r="Q669" s="110">
        <f>'Detailed Report'!AN665</f>
        <v>0</v>
      </c>
      <c r="R669" s="110">
        <f>'Detailed Report'!AU665/1.14</f>
        <v>27.184210526315791</v>
      </c>
      <c r="S669" s="110">
        <f>'Detailed Report'!AU665-'........... - Otlob'!R669</f>
        <v>3.8057894736842073</v>
      </c>
    </row>
    <row r="670" spans="1:19" ht="14.45" customHeight="1" x14ac:dyDescent="0.25">
      <c r="A670" s="105">
        <f>+IF(B670="","",SUBTOTAL(3,B$8:B670))</f>
        <v>663</v>
      </c>
      <c r="B670" s="106" t="str">
        <f>'Detailed Report'!O666</f>
        <v>Fuddruckers - Concord Plaza Mall</v>
      </c>
      <c r="C670" s="107">
        <f>TRUNC('Detailed Report'!Q666,0)</f>
        <v>46044</v>
      </c>
      <c r="D670" s="108">
        <f>'Detailed Report'!P666</f>
        <v>3414427133</v>
      </c>
      <c r="E670" s="106" t="str">
        <f>'Detailed Report'!S666</f>
        <v>Successful</v>
      </c>
      <c r="F670" s="109">
        <f>IF(E670=$E$6,('Detailed Report'!Y666),IF(E670=$E$5,(0),0))</f>
        <v>339.82</v>
      </c>
      <c r="G670" s="106">
        <f>IF(E670=$E$6,('Detailed Report'!AQ666),IF(E670=$E$5,('Detailed Report'!AW666),0))</f>
        <v>298.08771999999999</v>
      </c>
      <c r="H670" s="106">
        <f>'Detailed Report'!AS666</f>
        <v>74.521929999999998</v>
      </c>
      <c r="I670" s="106">
        <f>'Detailed Report'!AT666</f>
        <v>10.4330702</v>
      </c>
      <c r="J670" s="106">
        <f>'Detailed Report'!AO666</f>
        <v>5.9468500000000004</v>
      </c>
      <c r="K670" s="106">
        <f>'Detailed Report'!AP666</f>
        <v>0.83255900000000005</v>
      </c>
      <c r="L670" s="106">
        <f>'Detailed Report'!AU666/1.14</f>
        <v>0</v>
      </c>
      <c r="M670" s="106">
        <f>'Detailed Report'!AU666-L670</f>
        <v>0</v>
      </c>
      <c r="N670" s="110">
        <f>'Detailed Report'!AW666</f>
        <v>248.08600000000001</v>
      </c>
      <c r="O670" s="111">
        <f t="shared" si="56"/>
        <v>50.001719999999978</v>
      </c>
      <c r="P670" s="110">
        <f>'Detailed Report'!AM666</f>
        <v>0</v>
      </c>
      <c r="Q670" s="110">
        <f>'Detailed Report'!AN666</f>
        <v>0</v>
      </c>
      <c r="R670" s="110">
        <f>'Detailed Report'!AU666/1.14</f>
        <v>0</v>
      </c>
      <c r="S670" s="110">
        <f>'Detailed Report'!AU666-'........... - Otlob'!R670</f>
        <v>0</v>
      </c>
    </row>
    <row r="671" spans="1:19" ht="14.45" customHeight="1" x14ac:dyDescent="0.25">
      <c r="A671" s="105">
        <f>+IF(B671="","",SUBTOTAL(3,B$8:B671))</f>
        <v>664</v>
      </c>
      <c r="B671" s="106" t="str">
        <f>'Detailed Report'!O667</f>
        <v>Fuddruckers - Concord Plaza Mall</v>
      </c>
      <c r="C671" s="107">
        <f>TRUNC('Detailed Report'!Q667,0)</f>
        <v>46044</v>
      </c>
      <c r="D671" s="108">
        <f>'Detailed Report'!P667</f>
        <v>3414456898</v>
      </c>
      <c r="E671" s="106" t="str">
        <f>'Detailed Report'!S667</f>
        <v>Successful</v>
      </c>
      <c r="F671" s="109">
        <f>IF(E671=$E$6,('Detailed Report'!Y667),IF(E671=$E$5,(0),0))</f>
        <v>767.99</v>
      </c>
      <c r="G671" s="106">
        <f>IF(E671=$E$6,('Detailed Report'!AQ667),IF(E671=$E$5,('Detailed Report'!AW667),0))</f>
        <v>673.67543999999998</v>
      </c>
      <c r="H671" s="106">
        <f>'Detailed Report'!AS667</f>
        <v>168.41886</v>
      </c>
      <c r="I671" s="106">
        <f>'Detailed Report'!AT667</f>
        <v>23.578640400000001</v>
      </c>
      <c r="J671" s="106">
        <f>'Detailed Report'!AO667</f>
        <v>13.439825000000001</v>
      </c>
      <c r="K671" s="106">
        <f>'Detailed Report'!AP667</f>
        <v>1.8815755000000001</v>
      </c>
      <c r="L671" s="106">
        <f>'Detailed Report'!AU667/1.14</f>
        <v>28.938596491228076</v>
      </c>
      <c r="M671" s="106">
        <f>'Detailed Report'!AU667-L671</f>
        <v>4.0514035087719265</v>
      </c>
      <c r="N671" s="110">
        <f>'Detailed Report'!AW667</f>
        <v>527.68100000000004</v>
      </c>
      <c r="O671" s="111">
        <f t="shared" si="56"/>
        <v>145.99443999999994</v>
      </c>
      <c r="P671" s="110">
        <f>'Detailed Report'!AM667</f>
        <v>0</v>
      </c>
      <c r="Q671" s="110">
        <f>'Detailed Report'!AN667</f>
        <v>0</v>
      </c>
      <c r="R671" s="110">
        <f>'Detailed Report'!AU667/1.14</f>
        <v>28.938596491228076</v>
      </c>
      <c r="S671" s="110">
        <f>'Detailed Report'!AU667-'........... - Otlob'!R671</f>
        <v>4.0514035087719265</v>
      </c>
    </row>
    <row r="672" spans="1:19" ht="14.45" customHeight="1" x14ac:dyDescent="0.25">
      <c r="A672" s="105">
        <f>+IF(B672="","",SUBTOTAL(3,B$8:B672))</f>
        <v>665</v>
      </c>
      <c r="B672" s="106" t="str">
        <f>'Detailed Report'!O668</f>
        <v>Fuddruckers - Concord Plaza Mall</v>
      </c>
      <c r="C672" s="107">
        <f>TRUNC('Detailed Report'!Q668,0)</f>
        <v>46044</v>
      </c>
      <c r="D672" s="108">
        <f>'Detailed Report'!P668</f>
        <v>3414466005</v>
      </c>
      <c r="E672" s="106" t="str">
        <f>'Detailed Report'!S668</f>
        <v>Successful</v>
      </c>
      <c r="F672" s="109">
        <f>IF(E672=$E$6,('Detailed Report'!Y668),IF(E672=$E$5,(0),0))</f>
        <v>392.99</v>
      </c>
      <c r="G672" s="106">
        <f>IF(E672=$E$6,('Detailed Report'!AQ668),IF(E672=$E$5,('Detailed Report'!AW668),0))</f>
        <v>344.72807</v>
      </c>
      <c r="H672" s="106">
        <f>'Detailed Report'!AS668</f>
        <v>86.182019999999994</v>
      </c>
      <c r="I672" s="106">
        <f>'Detailed Report'!AT668</f>
        <v>12.0654828</v>
      </c>
      <c r="J672" s="106">
        <f>'Detailed Report'!AO668</f>
        <v>6.8773249999999999</v>
      </c>
      <c r="K672" s="106">
        <f>'Detailed Report'!AP668</f>
        <v>0.9628255</v>
      </c>
      <c r="L672" s="106">
        <f>'Detailed Report'!AU668/1.14</f>
        <v>28.938596491228076</v>
      </c>
      <c r="M672" s="106">
        <f>'Detailed Report'!AU668-L672</f>
        <v>4.0514035087719265</v>
      </c>
      <c r="N672" s="110">
        <f>'Detailed Report'!AW668</f>
        <v>253.91200000000001</v>
      </c>
      <c r="O672" s="111">
        <f t="shared" si="56"/>
        <v>90.816069999999996</v>
      </c>
      <c r="P672" s="110">
        <f>'Detailed Report'!AM668</f>
        <v>0</v>
      </c>
      <c r="Q672" s="110">
        <f>'Detailed Report'!AN668</f>
        <v>0</v>
      </c>
      <c r="R672" s="110">
        <f>'Detailed Report'!AU668/1.14</f>
        <v>28.938596491228076</v>
      </c>
      <c r="S672" s="110">
        <f>'Detailed Report'!AU668-'........... - Otlob'!R672</f>
        <v>4.0514035087719265</v>
      </c>
    </row>
    <row r="673" spans="1:19" ht="14.45" customHeight="1" x14ac:dyDescent="0.25">
      <c r="A673" s="105">
        <f>+IF(B673="","",SUBTOTAL(3,B$8:B673))</f>
        <v>666</v>
      </c>
      <c r="B673" s="106" t="str">
        <f>'Detailed Report'!O669</f>
        <v>Fuddruckers - New Maadi</v>
      </c>
      <c r="C673" s="107">
        <f>TRUNC('Detailed Report'!Q669,0)</f>
        <v>46045</v>
      </c>
      <c r="D673" s="108">
        <f>'Detailed Report'!P669</f>
        <v>3414935374</v>
      </c>
      <c r="E673" s="106" t="str">
        <f>'Detailed Report'!S669</f>
        <v>Successful</v>
      </c>
      <c r="F673" s="109">
        <f>IF(E673=$E$6,('Detailed Report'!Y669),IF(E673=$E$5,(0),0))</f>
        <v>239.99</v>
      </c>
      <c r="G673" s="106">
        <f>IF(E673=$E$6,('Detailed Report'!AQ669),IF(E673=$E$5,('Detailed Report'!AW669),0))</f>
        <v>210.51754</v>
      </c>
      <c r="H673" s="106">
        <f>'Detailed Report'!AS669</f>
        <v>52.629390000000001</v>
      </c>
      <c r="I673" s="106">
        <f>'Detailed Report'!AT669</f>
        <v>7.3681146000000002</v>
      </c>
      <c r="J673" s="106">
        <f>'Detailed Report'!AO669</f>
        <v>4.1998249999999997</v>
      </c>
      <c r="K673" s="106">
        <f>'Detailed Report'!AP669</f>
        <v>0.58797549999999998</v>
      </c>
      <c r="L673" s="106">
        <f>'Detailed Report'!AU669/1.14</f>
        <v>26.307017543859651</v>
      </c>
      <c r="M673" s="106">
        <f>'Detailed Report'!AU669-L673</f>
        <v>3.6829824561403477</v>
      </c>
      <c r="N673" s="110">
        <f>'Detailed Report'!AW669</f>
        <v>145.215</v>
      </c>
      <c r="O673" s="111">
        <f t="shared" si="56"/>
        <v>65.302539999999993</v>
      </c>
      <c r="P673" s="110">
        <f>'Detailed Report'!AM669</f>
        <v>0</v>
      </c>
      <c r="Q673" s="110">
        <f>'Detailed Report'!AN669</f>
        <v>0</v>
      </c>
      <c r="R673" s="110">
        <f>'Detailed Report'!AU669/1.14</f>
        <v>26.307017543859651</v>
      </c>
      <c r="S673" s="110">
        <f>'Detailed Report'!AU669-'........... - Otlob'!R673</f>
        <v>3.6829824561403477</v>
      </c>
    </row>
    <row r="674" spans="1:19" ht="14.45" customHeight="1" x14ac:dyDescent="0.25">
      <c r="A674" s="105">
        <f>+IF(B674="","",SUBTOTAL(3,B$8:B674))</f>
        <v>667</v>
      </c>
      <c r="B674" s="106" t="str">
        <f>'Detailed Report'!O670</f>
        <v>Fuddruckers - City Stars</v>
      </c>
      <c r="C674" s="107">
        <f>TRUNC('Detailed Report'!Q670,0)</f>
        <v>46045</v>
      </c>
      <c r="D674" s="108">
        <f>'Detailed Report'!P670</f>
        <v>3415238757</v>
      </c>
      <c r="E674" s="106" t="str">
        <f>'Detailed Report'!S670</f>
        <v>Successful</v>
      </c>
      <c r="F674" s="109">
        <f>IF(E674=$E$6,('Detailed Report'!Y670),IF(E674=$E$5,(0),0))</f>
        <v>319.99</v>
      </c>
      <c r="G674" s="106">
        <f>IF(E674=$E$6,('Detailed Report'!AQ670),IF(E674=$E$5,('Detailed Report'!AW670),0))</f>
        <v>280.69297999999998</v>
      </c>
      <c r="H674" s="106">
        <f>'Detailed Report'!AS670</f>
        <v>70.173249999999996</v>
      </c>
      <c r="I674" s="106">
        <f>'Detailed Report'!AT670</f>
        <v>9.8242550000000008</v>
      </c>
      <c r="J674" s="106">
        <f>'Detailed Report'!AO670</f>
        <v>5.5998250000000001</v>
      </c>
      <c r="K674" s="106">
        <f>'Detailed Report'!AP670</f>
        <v>0.78397550000000005</v>
      </c>
      <c r="L674" s="106">
        <f>'Detailed Report'!AU670/1.14</f>
        <v>0</v>
      </c>
      <c r="M674" s="106">
        <f>'Detailed Report'!AU670-L674</f>
        <v>0</v>
      </c>
      <c r="N674" s="110">
        <f>'Detailed Report'!AW670</f>
        <v>233.60900000000001</v>
      </c>
      <c r="O674" s="111">
        <f t="shared" si="56"/>
        <v>47.083979999999968</v>
      </c>
      <c r="P674" s="110">
        <f>'Detailed Report'!AM670</f>
        <v>0</v>
      </c>
      <c r="Q674" s="110">
        <f>'Detailed Report'!AN670</f>
        <v>0</v>
      </c>
      <c r="R674" s="110">
        <f>'Detailed Report'!AU670/1.14</f>
        <v>0</v>
      </c>
      <c r="S674" s="110">
        <f>'Detailed Report'!AU670-'........... - Otlob'!R674</f>
        <v>0</v>
      </c>
    </row>
    <row r="675" spans="1:19" ht="14.45" customHeight="1" x14ac:dyDescent="0.25">
      <c r="A675" s="105">
        <f>+IF(B675="","",SUBTOTAL(3,B$8:B675))</f>
        <v>668</v>
      </c>
      <c r="B675" s="106" t="str">
        <f>'Detailed Report'!O671</f>
        <v>Fuddruckers - Concord Plaza Mall</v>
      </c>
      <c r="C675" s="107">
        <f>TRUNC('Detailed Report'!Q671,0)</f>
        <v>46045</v>
      </c>
      <c r="D675" s="108">
        <f>'Detailed Report'!P671</f>
        <v>3415275396</v>
      </c>
      <c r="E675" s="106" t="str">
        <f>'Detailed Report'!S671</f>
        <v>Successful</v>
      </c>
      <c r="F675" s="109">
        <f>IF(E675=$E$6,('Detailed Report'!Y671),IF(E675=$E$5,(0),0))</f>
        <v>250.99</v>
      </c>
      <c r="G675" s="106">
        <f>IF(E675=$E$6,('Detailed Report'!AQ671),IF(E675=$E$5,('Detailed Report'!AW671),0))</f>
        <v>220.16667000000001</v>
      </c>
      <c r="H675" s="106">
        <f>'Detailed Report'!AS671</f>
        <v>55.041670000000003</v>
      </c>
      <c r="I675" s="106">
        <f>'Detailed Report'!AT671</f>
        <v>7.7058337999999997</v>
      </c>
      <c r="J675" s="106">
        <f>'Detailed Report'!AO671</f>
        <v>4.3923249999999996</v>
      </c>
      <c r="K675" s="106">
        <f>'Detailed Report'!AP671</f>
        <v>0.61492550000000001</v>
      </c>
      <c r="L675" s="106">
        <f>'Detailed Report'!AU671/1.14</f>
        <v>0</v>
      </c>
      <c r="M675" s="106">
        <f>'Detailed Report'!AU671-L675</f>
        <v>0</v>
      </c>
      <c r="N675" s="110">
        <f>'Detailed Report'!AW671</f>
        <v>183.23500000000001</v>
      </c>
      <c r="O675" s="111">
        <f t="shared" si="56"/>
        <v>36.931669999999997</v>
      </c>
      <c r="P675" s="110">
        <f>'Detailed Report'!AM671</f>
        <v>0</v>
      </c>
      <c r="Q675" s="110">
        <f>'Detailed Report'!AN671</f>
        <v>0</v>
      </c>
      <c r="R675" s="110">
        <f>'Detailed Report'!AU671/1.14</f>
        <v>0</v>
      </c>
      <c r="S675" s="110">
        <f>'Detailed Report'!AU671-'........... - Otlob'!R675</f>
        <v>0</v>
      </c>
    </row>
    <row r="676" spans="1:19" ht="14.45" customHeight="1" x14ac:dyDescent="0.25">
      <c r="A676" s="105">
        <f>+IF(B676="","",SUBTOTAL(3,B$8:B676))</f>
        <v>669</v>
      </c>
      <c r="B676" s="106" t="str">
        <f>'Detailed Report'!O672</f>
        <v>Fuddruckers - New Maadi</v>
      </c>
      <c r="C676" s="107">
        <f>TRUNC('Detailed Report'!Q672,0)</f>
        <v>46045</v>
      </c>
      <c r="D676" s="108">
        <f>'Detailed Report'!P672</f>
        <v>3415311404</v>
      </c>
      <c r="E676" s="106" t="str">
        <f>'Detailed Report'!S672</f>
        <v>Successful</v>
      </c>
      <c r="F676" s="109">
        <f>IF(E676=$E$6,('Detailed Report'!Y672),IF(E676=$E$5,(0),0))</f>
        <v>1189.98</v>
      </c>
      <c r="G676" s="106">
        <f>IF(E676=$E$6,('Detailed Report'!AQ672),IF(E676=$E$5,('Detailed Report'!AW672),0))</f>
        <v>1043.84211</v>
      </c>
      <c r="H676" s="106">
        <f>'Detailed Report'!AS672</f>
        <v>260.96053000000001</v>
      </c>
      <c r="I676" s="106">
        <f>'Detailed Report'!AT672</f>
        <v>36.534474199999998</v>
      </c>
      <c r="J676" s="106">
        <f>'Detailed Report'!AO672</f>
        <v>20.824649999999998</v>
      </c>
      <c r="K676" s="106">
        <f>'Detailed Report'!AP672</f>
        <v>2.915451</v>
      </c>
      <c r="L676" s="106">
        <f>'Detailed Report'!AU672/1.14</f>
        <v>0</v>
      </c>
      <c r="M676" s="106">
        <f>'Detailed Report'!AU672-L676</f>
        <v>0</v>
      </c>
      <c r="N676" s="110">
        <f>'Detailed Report'!AW672</f>
        <v>868.745</v>
      </c>
      <c r="O676" s="111">
        <f t="shared" si="56"/>
        <v>175.09711000000004</v>
      </c>
      <c r="P676" s="110">
        <f>'Detailed Report'!AM672</f>
        <v>0</v>
      </c>
      <c r="Q676" s="110">
        <f>'Detailed Report'!AN672</f>
        <v>0</v>
      </c>
      <c r="R676" s="110">
        <f>'Detailed Report'!AU672/1.14</f>
        <v>0</v>
      </c>
      <c r="S676" s="110">
        <f>'Detailed Report'!AU672-'........... - Otlob'!R676</f>
        <v>0</v>
      </c>
    </row>
    <row r="677" spans="1:19" ht="14.45" customHeight="1" x14ac:dyDescent="0.25">
      <c r="A677" s="105">
        <f>+IF(B677="","",SUBTOTAL(3,B$8:B677))</f>
        <v>670</v>
      </c>
      <c r="B677" s="106" t="str">
        <f>'Detailed Report'!O673</f>
        <v>Fuddruckers - Concord Plaza Mall</v>
      </c>
      <c r="C677" s="107">
        <f>TRUNC('Detailed Report'!Q673,0)</f>
        <v>46045</v>
      </c>
      <c r="D677" s="108">
        <f>'Detailed Report'!P673</f>
        <v>3415371482</v>
      </c>
      <c r="E677" s="106" t="str">
        <f>'Detailed Report'!S673</f>
        <v>Successful</v>
      </c>
      <c r="F677" s="109">
        <f>IF(E677=$E$6,('Detailed Report'!Y673),IF(E677=$E$5,(0),0))</f>
        <v>1024.56</v>
      </c>
      <c r="G677" s="106">
        <f>IF(E677=$E$6,('Detailed Report'!AQ673),IF(E677=$E$5,('Detailed Report'!AW673),0))</f>
        <v>898.73684000000003</v>
      </c>
      <c r="H677" s="106">
        <f>'Detailed Report'!AS673</f>
        <v>224.68421000000001</v>
      </c>
      <c r="I677" s="106">
        <f>'Detailed Report'!AT673</f>
        <v>31.4557894</v>
      </c>
      <c r="J677" s="106">
        <f>'Detailed Report'!AO673</f>
        <v>17.9298</v>
      </c>
      <c r="K677" s="106">
        <f>'Detailed Report'!AP673</f>
        <v>2.5101719999999998</v>
      </c>
      <c r="L677" s="106">
        <f>'Detailed Report'!AU673/1.14</f>
        <v>29.815789473684216</v>
      </c>
      <c r="M677" s="106">
        <f>'Detailed Report'!AU673-L677</f>
        <v>4.174210526315786</v>
      </c>
      <c r="N677" s="110">
        <f>'Detailed Report'!AW673</f>
        <v>713.99</v>
      </c>
      <c r="O677" s="111">
        <f t="shared" si="56"/>
        <v>184.74684000000002</v>
      </c>
      <c r="P677" s="110">
        <f>'Detailed Report'!AM673</f>
        <v>0</v>
      </c>
      <c r="Q677" s="110">
        <f>'Detailed Report'!AN673</f>
        <v>0</v>
      </c>
      <c r="R677" s="110">
        <f>'Detailed Report'!AU673/1.14</f>
        <v>29.815789473684216</v>
      </c>
      <c r="S677" s="110">
        <f>'Detailed Report'!AU673-'........... - Otlob'!R677</f>
        <v>4.174210526315786</v>
      </c>
    </row>
    <row r="678" spans="1:19" ht="14.45" customHeight="1" x14ac:dyDescent="0.25">
      <c r="A678" s="105">
        <f>+IF(B678="","",SUBTOTAL(3,B$8:B678))</f>
        <v>671</v>
      </c>
      <c r="B678" s="106" t="str">
        <f>'Detailed Report'!O674</f>
        <v>Fuddruckers - Concord Plaza Mall</v>
      </c>
      <c r="C678" s="107">
        <f>TRUNC('Detailed Report'!Q674,0)</f>
        <v>46045</v>
      </c>
      <c r="D678" s="108">
        <f>'Detailed Report'!P674</f>
        <v>3415535098</v>
      </c>
      <c r="E678" s="106" t="str">
        <f>'Detailed Report'!S674</f>
        <v>Successful</v>
      </c>
      <c r="F678" s="109">
        <f>IF(E678=$E$6,('Detailed Report'!Y674),IF(E678=$E$5,(0),0))</f>
        <v>866.66</v>
      </c>
      <c r="G678" s="106">
        <f>IF(E678=$E$6,('Detailed Report'!AQ674),IF(E678=$E$5,('Detailed Report'!AW674),0))</f>
        <v>760.22807</v>
      </c>
      <c r="H678" s="106">
        <f>'Detailed Report'!AS674</f>
        <v>190.05701999999999</v>
      </c>
      <c r="I678" s="106">
        <f>'Detailed Report'!AT674</f>
        <v>26.607982799999998</v>
      </c>
      <c r="J678" s="106">
        <f>'Detailed Report'!AO674</f>
        <v>15.166550000000001</v>
      </c>
      <c r="K678" s="106">
        <f>'Detailed Report'!AP674</f>
        <v>2.1233170000000001</v>
      </c>
      <c r="L678" s="106">
        <f>'Detailed Report'!AU674/1.14</f>
        <v>30.692982456140356</v>
      </c>
      <c r="M678" s="106">
        <f>'Detailed Report'!AU674-L678</f>
        <v>4.2970175438596456</v>
      </c>
      <c r="N678" s="110">
        <f>'Detailed Report'!AW674</f>
        <v>597.71500000000003</v>
      </c>
      <c r="O678" s="111">
        <f t="shared" si="56"/>
        <v>162.51306999999997</v>
      </c>
      <c r="P678" s="110">
        <f>'Detailed Report'!AM674</f>
        <v>0</v>
      </c>
      <c r="Q678" s="110">
        <f>'Detailed Report'!AN674</f>
        <v>0</v>
      </c>
      <c r="R678" s="110">
        <f>'Detailed Report'!AU674/1.14</f>
        <v>30.692982456140356</v>
      </c>
      <c r="S678" s="110">
        <f>'Detailed Report'!AU674-'........... - Otlob'!R678</f>
        <v>4.2970175438596456</v>
      </c>
    </row>
    <row r="679" spans="1:19" ht="14.45" customHeight="1" x14ac:dyDescent="0.25">
      <c r="A679" s="105">
        <f>+IF(B679="","",SUBTOTAL(3,B$8:B679))</f>
        <v>672</v>
      </c>
      <c r="B679" s="106" t="str">
        <f>'Detailed Report'!O675</f>
        <v>Fuddruckers - Concord Plaza Mall</v>
      </c>
      <c r="C679" s="107">
        <f>TRUNC('Detailed Report'!Q675,0)</f>
        <v>46045</v>
      </c>
      <c r="D679" s="108">
        <f>'Detailed Report'!P675</f>
        <v>3415600376</v>
      </c>
      <c r="E679" s="106" t="str">
        <f>'Detailed Report'!S675</f>
        <v>Successful</v>
      </c>
      <c r="F679" s="109">
        <f>IF(E679=$E$6,('Detailed Report'!Y675),IF(E679=$E$5,(0),0))</f>
        <v>929.97</v>
      </c>
      <c r="G679" s="106">
        <f>IF(E679=$E$6,('Detailed Report'!AQ675),IF(E679=$E$5,('Detailed Report'!AW675),0))</f>
        <v>815.76315999999997</v>
      </c>
      <c r="H679" s="106">
        <f>'Detailed Report'!AS675</f>
        <v>203.94078999999999</v>
      </c>
      <c r="I679" s="106">
        <f>'Detailed Report'!AT675</f>
        <v>28.5517106</v>
      </c>
      <c r="J679" s="106">
        <f>'Detailed Report'!AO675</f>
        <v>16.274474999999999</v>
      </c>
      <c r="K679" s="106">
        <f>'Detailed Report'!AP675</f>
        <v>2.2784265000000001</v>
      </c>
      <c r="L679" s="106">
        <f>'Detailed Report'!AU675/1.14</f>
        <v>30.692982456140356</v>
      </c>
      <c r="M679" s="106">
        <f>'Detailed Report'!AU675-L679</f>
        <v>4.2970175438596456</v>
      </c>
      <c r="N679" s="110">
        <f>'Detailed Report'!AW675</f>
        <v>643.93499999999995</v>
      </c>
      <c r="O679" s="111">
        <f t="shared" si="56"/>
        <v>171.82816000000003</v>
      </c>
      <c r="P679" s="110">
        <f>'Detailed Report'!AM675</f>
        <v>0</v>
      </c>
      <c r="Q679" s="110">
        <f>'Detailed Report'!AN675</f>
        <v>0</v>
      </c>
      <c r="R679" s="110">
        <f>'Detailed Report'!AU675/1.14</f>
        <v>30.692982456140356</v>
      </c>
      <c r="S679" s="110">
        <f>'Detailed Report'!AU675-'........... - Otlob'!R679</f>
        <v>4.2970175438596456</v>
      </c>
    </row>
    <row r="680" spans="1:19" ht="14.45" customHeight="1" x14ac:dyDescent="0.25">
      <c r="A680" s="105">
        <f>+IF(B680="","",SUBTOTAL(3,B$8:B680))</f>
        <v>673</v>
      </c>
      <c r="B680" s="106" t="str">
        <f>'Detailed Report'!O676</f>
        <v>Fuddruckers - New Maadi</v>
      </c>
      <c r="C680" s="107">
        <f>TRUNC('Detailed Report'!Q676,0)</f>
        <v>46045</v>
      </c>
      <c r="D680" s="108">
        <f>'Detailed Report'!P676</f>
        <v>3415674764</v>
      </c>
      <c r="E680" s="106" t="str">
        <f>'Detailed Report'!S676</f>
        <v>Successful</v>
      </c>
      <c r="F680" s="109">
        <f>IF(E680=$E$6,('Detailed Report'!Y676),IF(E680=$E$5,(0),0))</f>
        <v>639.98</v>
      </c>
      <c r="G680" s="106">
        <f>IF(E680=$E$6,('Detailed Report'!AQ676),IF(E680=$E$5,('Detailed Report'!AW676),0))</f>
        <v>561.38595999999995</v>
      </c>
      <c r="H680" s="106">
        <f>'Detailed Report'!AS676</f>
        <v>140.34648999999999</v>
      </c>
      <c r="I680" s="106">
        <f>'Detailed Report'!AT676</f>
        <v>19.6485086</v>
      </c>
      <c r="J680" s="106">
        <f>'Detailed Report'!AO676</f>
        <v>11.19965</v>
      </c>
      <c r="K680" s="106">
        <f>'Detailed Report'!AP676</f>
        <v>1.5679510000000001</v>
      </c>
      <c r="L680" s="106">
        <f>'Detailed Report'!AU676/1.14</f>
        <v>0</v>
      </c>
      <c r="M680" s="106">
        <f>'Detailed Report'!AU676-L680</f>
        <v>0</v>
      </c>
      <c r="N680" s="110">
        <f>'Detailed Report'!AW676</f>
        <v>467.21699999999998</v>
      </c>
      <c r="O680" s="111">
        <f t="shared" si="56"/>
        <v>94.16895999999997</v>
      </c>
      <c r="P680" s="110">
        <f>'Detailed Report'!AM676</f>
        <v>0</v>
      </c>
      <c r="Q680" s="110">
        <f>'Detailed Report'!AN676</f>
        <v>0</v>
      </c>
      <c r="R680" s="110">
        <f>'Detailed Report'!AU676/1.14</f>
        <v>0</v>
      </c>
      <c r="S680" s="110">
        <f>'Detailed Report'!AU676-'........... - Otlob'!R680</f>
        <v>0</v>
      </c>
    </row>
    <row r="681" spans="1:19" ht="14.45" customHeight="1" x14ac:dyDescent="0.25">
      <c r="A681" s="105">
        <f>+IF(B681="","",SUBTOTAL(3,B$8:B681))</f>
        <v>674</v>
      </c>
      <c r="B681" s="106" t="str">
        <f>'Detailed Report'!O677</f>
        <v>Fuddruckers - New Maadi</v>
      </c>
      <c r="C681" s="107">
        <f>TRUNC('Detailed Report'!Q677,0)</f>
        <v>46045</v>
      </c>
      <c r="D681" s="108">
        <f>'Detailed Report'!P677</f>
        <v>3415680280</v>
      </c>
      <c r="E681" s="106" t="str">
        <f>'Detailed Report'!S677</f>
        <v>Successful</v>
      </c>
      <c r="F681" s="109">
        <f>IF(E681=$E$6,('Detailed Report'!Y677),IF(E681=$E$5,(0),0))</f>
        <v>353.99</v>
      </c>
      <c r="G681" s="106">
        <f>IF(E681=$E$6,('Detailed Report'!AQ677),IF(E681=$E$5,('Detailed Report'!AW677),0))</f>
        <v>310.51754</v>
      </c>
      <c r="H681" s="106">
        <f>'Detailed Report'!AS677</f>
        <v>77.629390000000001</v>
      </c>
      <c r="I681" s="106">
        <f>'Detailed Report'!AT677</f>
        <v>10.8681146</v>
      </c>
      <c r="J681" s="106">
        <f>'Detailed Report'!AO677</f>
        <v>6.1948249999999998</v>
      </c>
      <c r="K681" s="106">
        <f>'Detailed Report'!AP677</f>
        <v>0.86727549999999998</v>
      </c>
      <c r="L681" s="106">
        <f>'Detailed Report'!AU677/1.14</f>
        <v>23.67543859649123</v>
      </c>
      <c r="M681" s="106">
        <f>'Detailed Report'!AU677-L681</f>
        <v>3.3145614035087689</v>
      </c>
      <c r="N681" s="110">
        <f>'Detailed Report'!AW677</f>
        <v>231.44</v>
      </c>
      <c r="O681" s="111">
        <f t="shared" si="56"/>
        <v>79.077539999999999</v>
      </c>
      <c r="P681" s="110">
        <f>'Detailed Report'!AM677</f>
        <v>0</v>
      </c>
      <c r="Q681" s="110">
        <f>'Detailed Report'!AN677</f>
        <v>0</v>
      </c>
      <c r="R681" s="110">
        <f>'Detailed Report'!AU677/1.14</f>
        <v>23.67543859649123</v>
      </c>
      <c r="S681" s="110">
        <f>'Detailed Report'!AU677-'........... - Otlob'!R681</f>
        <v>3.3145614035087689</v>
      </c>
    </row>
    <row r="682" spans="1:19" ht="14.45" customHeight="1" x14ac:dyDescent="0.25">
      <c r="A682" s="105">
        <f>+IF(B682="","",SUBTOTAL(3,B$8:B682))</f>
        <v>675</v>
      </c>
      <c r="B682" s="106" t="str">
        <f>'Detailed Report'!O678</f>
        <v>Fuddruckers - City Stars</v>
      </c>
      <c r="C682" s="107">
        <f>TRUNC('Detailed Report'!Q678,0)</f>
        <v>46045</v>
      </c>
      <c r="D682" s="108">
        <f>'Detailed Report'!P678</f>
        <v>3415728211</v>
      </c>
      <c r="E682" s="106" t="str">
        <f>'Detailed Report'!S678</f>
        <v>Successful</v>
      </c>
      <c r="F682" s="109">
        <f>IF(E682=$E$6,('Detailed Report'!Y678),IF(E682=$E$5,(0),0))</f>
        <v>392.83</v>
      </c>
      <c r="G682" s="106">
        <f>IF(E682=$E$6,('Detailed Report'!AQ678),IF(E682=$E$5,('Detailed Report'!AW678),0))</f>
        <v>344.58771999999999</v>
      </c>
      <c r="H682" s="106">
        <f>'Detailed Report'!AS678</f>
        <v>86.146929999999998</v>
      </c>
      <c r="I682" s="106">
        <f>'Detailed Report'!AT678</f>
        <v>12.060570200000001</v>
      </c>
      <c r="J682" s="106">
        <f>'Detailed Report'!AO678</f>
        <v>0</v>
      </c>
      <c r="K682" s="106">
        <f>'Detailed Report'!AP678</f>
        <v>0</v>
      </c>
      <c r="L682" s="106">
        <f>'Detailed Report'!AU678/1.14</f>
        <v>0</v>
      </c>
      <c r="M682" s="106">
        <f>'Detailed Report'!AU678-L682</f>
        <v>0</v>
      </c>
      <c r="N682" s="110">
        <f>'Detailed Report'!AW678</f>
        <v>294.62200000000001</v>
      </c>
      <c r="O682" s="111">
        <f t="shared" si="56"/>
        <v>49.965719999999976</v>
      </c>
      <c r="P682" s="110">
        <f>'Detailed Report'!AM678</f>
        <v>0</v>
      </c>
      <c r="Q682" s="110">
        <f>'Detailed Report'!AN678</f>
        <v>0</v>
      </c>
      <c r="R682" s="110">
        <f>'Detailed Report'!AU678/1.14</f>
        <v>0</v>
      </c>
      <c r="S682" s="110">
        <f>'Detailed Report'!AU678-'........... - Otlob'!R682</f>
        <v>0</v>
      </c>
    </row>
    <row r="683" spans="1:19" ht="14.45" customHeight="1" x14ac:dyDescent="0.25">
      <c r="A683" s="105">
        <f>+IF(B683="","",SUBTOTAL(3,B$8:B683))</f>
        <v>676</v>
      </c>
      <c r="B683" s="106" t="str">
        <f>'Detailed Report'!O679</f>
        <v>Fuddruckers - New Maadi</v>
      </c>
      <c r="C683" s="107">
        <f>TRUNC('Detailed Report'!Q679,0)</f>
        <v>46045</v>
      </c>
      <c r="D683" s="108">
        <f>'Detailed Report'!P679</f>
        <v>3415734974</v>
      </c>
      <c r="E683" s="106" t="str">
        <f>'Detailed Report'!S679</f>
        <v>Successful</v>
      </c>
      <c r="F683" s="109">
        <f>IF(E683=$E$6,('Detailed Report'!Y679),IF(E683=$E$5,(0),0))</f>
        <v>808.98</v>
      </c>
      <c r="G683" s="106">
        <f>IF(E683=$E$6,('Detailed Report'!AQ679),IF(E683=$E$5,('Detailed Report'!AW679),0))</f>
        <v>709.63157999999999</v>
      </c>
      <c r="H683" s="106">
        <f>'Detailed Report'!AS679</f>
        <v>177.40790000000001</v>
      </c>
      <c r="I683" s="106">
        <f>'Detailed Report'!AT679</f>
        <v>24.837105999999999</v>
      </c>
      <c r="J683" s="106">
        <f>'Detailed Report'!AO679</f>
        <v>14.15715</v>
      </c>
      <c r="K683" s="106">
        <f>'Detailed Report'!AP679</f>
        <v>1.9820009999999999</v>
      </c>
      <c r="L683" s="106">
        <f>'Detailed Report'!AU679/1.14</f>
        <v>0</v>
      </c>
      <c r="M683" s="106">
        <f>'Detailed Report'!AU679-L683</f>
        <v>0</v>
      </c>
      <c r="N683" s="110">
        <f>'Detailed Report'!AW679</f>
        <v>556.39599999999996</v>
      </c>
      <c r="O683" s="111">
        <f t="shared" si="56"/>
        <v>153.23558000000003</v>
      </c>
      <c r="P683" s="110">
        <f>'Detailed Report'!AM679</f>
        <v>30</v>
      </c>
      <c r="Q683" s="110">
        <f>'Detailed Report'!AN679</f>
        <v>4.2</v>
      </c>
      <c r="R683" s="110">
        <f>'Detailed Report'!AU679/1.14</f>
        <v>0</v>
      </c>
      <c r="S683" s="110">
        <f>'Detailed Report'!AU679-'........... - Otlob'!R683</f>
        <v>0</v>
      </c>
    </row>
    <row r="684" spans="1:19" ht="14.45" customHeight="1" x14ac:dyDescent="0.25">
      <c r="A684" s="105">
        <f>+IF(B684="","",SUBTOTAL(3,B$8:B684))</f>
        <v>677</v>
      </c>
      <c r="B684" s="106" t="str">
        <f>'Detailed Report'!O680</f>
        <v>Fuddruckers - City Stars</v>
      </c>
      <c r="C684" s="107">
        <f>TRUNC('Detailed Report'!Q680,0)</f>
        <v>46045</v>
      </c>
      <c r="D684" s="108">
        <f>'Detailed Report'!P680</f>
        <v>3415775994</v>
      </c>
      <c r="E684" s="106" t="str">
        <f>'Detailed Report'!S680</f>
        <v>Successful</v>
      </c>
      <c r="F684" s="109">
        <f>IF(E684=$E$6,('Detailed Report'!Y680),IF(E684=$E$5,(0),0))</f>
        <v>352.99</v>
      </c>
      <c r="G684" s="106">
        <f>IF(E684=$E$6,('Detailed Report'!AQ680),IF(E684=$E$5,('Detailed Report'!AW680),0))</f>
        <v>309.64035000000001</v>
      </c>
      <c r="H684" s="106">
        <f>'Detailed Report'!AS680</f>
        <v>77.410089999999997</v>
      </c>
      <c r="I684" s="106">
        <f>'Detailed Report'!AT680</f>
        <v>10.8374126</v>
      </c>
      <c r="J684" s="106">
        <f>'Detailed Report'!AO680</f>
        <v>6.1773249999999997</v>
      </c>
      <c r="K684" s="106">
        <f>'Detailed Report'!AP680</f>
        <v>0.86482550000000002</v>
      </c>
      <c r="L684" s="106">
        <f>'Detailed Report'!AU680/1.14</f>
        <v>25.42982456140351</v>
      </c>
      <c r="M684" s="106">
        <f>'Detailed Report'!AU680-L684</f>
        <v>3.5601754385964881</v>
      </c>
      <c r="N684" s="110">
        <f>'Detailed Report'!AW680</f>
        <v>228.71</v>
      </c>
      <c r="O684" s="111">
        <f t="shared" si="56"/>
        <v>80.930350000000004</v>
      </c>
      <c r="P684" s="110">
        <f>'Detailed Report'!AM680</f>
        <v>0</v>
      </c>
      <c r="Q684" s="110">
        <f>'Detailed Report'!AN680</f>
        <v>0</v>
      </c>
      <c r="R684" s="110">
        <f>'Detailed Report'!AU680/1.14</f>
        <v>25.42982456140351</v>
      </c>
      <c r="S684" s="110">
        <f>'Detailed Report'!AU680-'........... - Otlob'!R684</f>
        <v>3.5601754385964881</v>
      </c>
    </row>
    <row r="685" spans="1:19" ht="14.45" customHeight="1" x14ac:dyDescent="0.25">
      <c r="A685" s="105">
        <f>+IF(B685="","",SUBTOTAL(3,B$8:B685))</f>
        <v>678</v>
      </c>
      <c r="B685" s="106" t="str">
        <f>'Detailed Report'!O681</f>
        <v>Fuddruckers - Concord Plaza Mall</v>
      </c>
      <c r="C685" s="107">
        <f>TRUNC('Detailed Report'!Q681,0)</f>
        <v>46045</v>
      </c>
      <c r="D685" s="108">
        <f>'Detailed Report'!P681</f>
        <v>3415805714</v>
      </c>
      <c r="E685" s="106" t="str">
        <f>'Detailed Report'!S681</f>
        <v>Successful</v>
      </c>
      <c r="F685" s="109">
        <f>IF(E685=$E$6,('Detailed Report'!Y681),IF(E685=$E$5,(0),0))</f>
        <v>1846.62</v>
      </c>
      <c r="G685" s="106">
        <f>IF(E685=$E$6,('Detailed Report'!AQ681),IF(E685=$E$5,('Detailed Report'!AW681),0))</f>
        <v>1619.84211</v>
      </c>
      <c r="H685" s="106">
        <f>'Detailed Report'!AS681</f>
        <v>404.96053000000001</v>
      </c>
      <c r="I685" s="106">
        <f>'Detailed Report'!AT681</f>
        <v>56.694474200000002</v>
      </c>
      <c r="J685" s="106">
        <f>'Detailed Report'!AO681</f>
        <v>32.315849999999998</v>
      </c>
      <c r="K685" s="106">
        <f>'Detailed Report'!AP681</f>
        <v>4.5242190000000004</v>
      </c>
      <c r="L685" s="106">
        <f>'Detailed Report'!AU681/1.14</f>
        <v>0</v>
      </c>
      <c r="M685" s="106">
        <f>'Detailed Report'!AU681-L685</f>
        <v>0</v>
      </c>
      <c r="N685" s="110">
        <f>'Detailed Report'!AW681</f>
        <v>1348.125</v>
      </c>
      <c r="O685" s="111">
        <f t="shared" si="56"/>
        <v>271.71711000000005</v>
      </c>
      <c r="P685" s="110">
        <f>'Detailed Report'!AM681</f>
        <v>0</v>
      </c>
      <c r="Q685" s="110">
        <f>'Detailed Report'!AN681</f>
        <v>0</v>
      </c>
      <c r="R685" s="110">
        <f>'Detailed Report'!AU681/1.14</f>
        <v>0</v>
      </c>
      <c r="S685" s="110">
        <f>'Detailed Report'!AU681-'........... - Otlob'!R685</f>
        <v>0</v>
      </c>
    </row>
    <row r="686" spans="1:19" ht="14.45" customHeight="1" x14ac:dyDescent="0.25">
      <c r="A686" s="105">
        <f>+IF(B686="","",SUBTOTAL(3,B$8:B686))</f>
        <v>679</v>
      </c>
      <c r="B686" s="106" t="str">
        <f>'Detailed Report'!O682</f>
        <v>Fuddruckers - New Maadi</v>
      </c>
      <c r="C686" s="107">
        <f>TRUNC('Detailed Report'!Q682,0)</f>
        <v>46045</v>
      </c>
      <c r="D686" s="108">
        <f>'Detailed Report'!P682</f>
        <v>3415818737</v>
      </c>
      <c r="E686" s="106" t="str">
        <f>'Detailed Report'!S682</f>
        <v>Successful</v>
      </c>
      <c r="F686" s="109">
        <f>IF(E686=$E$6,('Detailed Report'!Y682),IF(E686=$E$5,(0),0))</f>
        <v>389.99</v>
      </c>
      <c r="G686" s="106">
        <f>IF(E686=$E$6,('Detailed Report'!AQ682),IF(E686=$E$5,('Detailed Report'!AW682),0))</f>
        <v>342.09649000000002</v>
      </c>
      <c r="H686" s="106">
        <f>'Detailed Report'!AS682</f>
        <v>85.524119999999996</v>
      </c>
      <c r="I686" s="106">
        <f>'Detailed Report'!AT682</f>
        <v>11.9733768</v>
      </c>
      <c r="J686" s="106">
        <f>'Detailed Report'!AO682</f>
        <v>6.8248249999999997</v>
      </c>
      <c r="K686" s="106">
        <f>'Detailed Report'!AP682</f>
        <v>0.95547550000000003</v>
      </c>
      <c r="L686" s="106">
        <f>'Detailed Report'!AU682/1.14</f>
        <v>0</v>
      </c>
      <c r="M686" s="106">
        <f>'Detailed Report'!AU682-L686</f>
        <v>0</v>
      </c>
      <c r="N686" s="110">
        <f>'Detailed Report'!AW682</f>
        <v>284.71199999999999</v>
      </c>
      <c r="O686" s="111">
        <f t="shared" si="56"/>
        <v>57.384490000000028</v>
      </c>
      <c r="P686" s="110">
        <f>'Detailed Report'!AM682</f>
        <v>0</v>
      </c>
      <c r="Q686" s="110">
        <f>'Detailed Report'!AN682</f>
        <v>0</v>
      </c>
      <c r="R686" s="110">
        <f>'Detailed Report'!AU682/1.14</f>
        <v>0</v>
      </c>
      <c r="S686" s="110">
        <f>'Detailed Report'!AU682-'........... - Otlob'!R686</f>
        <v>0</v>
      </c>
    </row>
    <row r="687" spans="1:19" ht="14.45" customHeight="1" x14ac:dyDescent="0.25">
      <c r="A687" s="105">
        <f>+IF(B687="","",SUBTOTAL(3,B$8:B687))</f>
        <v>680</v>
      </c>
      <c r="B687" s="106" t="str">
        <f>'Detailed Report'!O683</f>
        <v>Fuddruckers - Concord Plaza Mall</v>
      </c>
      <c r="C687" s="107">
        <f>TRUNC('Detailed Report'!Q683,0)</f>
        <v>46045</v>
      </c>
      <c r="D687" s="108">
        <f>'Detailed Report'!P683</f>
        <v>3415836023</v>
      </c>
      <c r="E687" s="106" t="str">
        <f>'Detailed Report'!S683</f>
        <v>Successful</v>
      </c>
      <c r="F687" s="109">
        <f>IF(E687=$E$6,('Detailed Report'!Y683),IF(E687=$E$5,(0),0))</f>
        <v>363.99</v>
      </c>
      <c r="G687" s="106">
        <f>IF(E687=$E$6,('Detailed Report'!AQ683),IF(E687=$E$5,('Detailed Report'!AW683),0))</f>
        <v>319.28946999999999</v>
      </c>
      <c r="H687" s="106">
        <f>'Detailed Report'!AS683</f>
        <v>79.822370000000006</v>
      </c>
      <c r="I687" s="106">
        <f>'Detailed Report'!AT683</f>
        <v>11.175131800000001</v>
      </c>
      <c r="J687" s="106">
        <f>'Detailed Report'!AO683</f>
        <v>6.3698249999999996</v>
      </c>
      <c r="K687" s="106">
        <f>'Detailed Report'!AP683</f>
        <v>0.89177550000000005</v>
      </c>
      <c r="L687" s="106">
        <f>'Detailed Report'!AU683/1.14</f>
        <v>30.692982456140356</v>
      </c>
      <c r="M687" s="106">
        <f>'Detailed Report'!AU683-L687</f>
        <v>4.2970175438596456</v>
      </c>
      <c r="N687" s="110">
        <f>'Detailed Report'!AW683</f>
        <v>230.74100000000001</v>
      </c>
      <c r="O687" s="111">
        <f t="shared" si="56"/>
        <v>88.54846999999998</v>
      </c>
      <c r="P687" s="110">
        <f>'Detailed Report'!AM683</f>
        <v>0</v>
      </c>
      <c r="Q687" s="110">
        <f>'Detailed Report'!AN683</f>
        <v>0</v>
      </c>
      <c r="R687" s="110">
        <f>'Detailed Report'!AU683/1.14</f>
        <v>30.692982456140356</v>
      </c>
      <c r="S687" s="110">
        <f>'Detailed Report'!AU683-'........... - Otlob'!R687</f>
        <v>4.2970175438596456</v>
      </c>
    </row>
    <row r="688" spans="1:19" ht="14.45" customHeight="1" x14ac:dyDescent="0.25">
      <c r="A688" s="105">
        <f>+IF(B688="","",SUBTOTAL(3,B$8:B688))</f>
        <v>681</v>
      </c>
      <c r="B688" s="106" t="str">
        <f>'Detailed Report'!O684</f>
        <v>Fuddruckers - Concord Plaza Mall</v>
      </c>
      <c r="C688" s="107">
        <f>TRUNC('Detailed Report'!Q684,0)</f>
        <v>46045</v>
      </c>
      <c r="D688" s="108">
        <f>'Detailed Report'!P684</f>
        <v>3415868499</v>
      </c>
      <c r="E688" s="106" t="str">
        <f>'Detailed Report'!S684</f>
        <v>Successful</v>
      </c>
      <c r="F688" s="109">
        <f>IF(E688=$E$6,('Detailed Report'!Y684),IF(E688=$E$5,(0),0))</f>
        <v>636.91999999999996</v>
      </c>
      <c r="G688" s="106">
        <f>IF(E688=$E$6,('Detailed Report'!AQ684),IF(E688=$E$5,('Detailed Report'!AW684),0))</f>
        <v>558.70174999999995</v>
      </c>
      <c r="H688" s="106">
        <f>'Detailed Report'!AS684</f>
        <v>139.67544000000001</v>
      </c>
      <c r="I688" s="106">
        <f>'Detailed Report'!AT684</f>
        <v>19.5545616</v>
      </c>
      <c r="J688" s="106">
        <f>'Detailed Report'!AO684</f>
        <v>11.146100000000001</v>
      </c>
      <c r="K688" s="106">
        <f>'Detailed Report'!AP684</f>
        <v>1.560454</v>
      </c>
      <c r="L688" s="106">
        <f>'Detailed Report'!AU684/1.14</f>
        <v>27.184210526315791</v>
      </c>
      <c r="M688" s="106">
        <f>'Detailed Report'!AU684-L688</f>
        <v>3.8057894736842073</v>
      </c>
      <c r="N688" s="110">
        <f>'Detailed Report'!AW684</f>
        <v>433.99299999999999</v>
      </c>
      <c r="O688" s="111">
        <f t="shared" si="56"/>
        <v>124.70874999999995</v>
      </c>
      <c r="P688" s="110">
        <f>'Detailed Report'!AM684</f>
        <v>0</v>
      </c>
      <c r="Q688" s="110">
        <f>'Detailed Report'!AN684</f>
        <v>0</v>
      </c>
      <c r="R688" s="110">
        <f>'Detailed Report'!AU684/1.14</f>
        <v>27.184210526315791</v>
      </c>
      <c r="S688" s="110">
        <f>'Detailed Report'!AU684-'........... - Otlob'!R688</f>
        <v>3.8057894736842073</v>
      </c>
    </row>
    <row r="689" spans="1:19" ht="14.45" customHeight="1" x14ac:dyDescent="0.25">
      <c r="A689" s="105">
        <f>+IF(B689="","",SUBTOTAL(3,B$8:B689))</f>
        <v>682</v>
      </c>
      <c r="B689" s="106" t="str">
        <f>'Detailed Report'!O685</f>
        <v>Fuddruckers - Concord Plaza Mall</v>
      </c>
      <c r="C689" s="107">
        <f>TRUNC('Detailed Report'!Q685,0)</f>
        <v>46045</v>
      </c>
      <c r="D689" s="108">
        <f>'Detailed Report'!P685</f>
        <v>3415940870</v>
      </c>
      <c r="E689" s="106" t="str">
        <f>'Detailed Report'!S685</f>
        <v>Successful</v>
      </c>
      <c r="F689" s="109">
        <f>IF(E689=$E$6,('Detailed Report'!Y685),IF(E689=$E$5,(0),0))</f>
        <v>355.99</v>
      </c>
      <c r="G689" s="106">
        <f>IF(E689=$E$6,('Detailed Report'!AQ685),IF(E689=$E$5,('Detailed Report'!AW685),0))</f>
        <v>312.27193</v>
      </c>
      <c r="H689" s="106">
        <f>'Detailed Report'!AS685</f>
        <v>78.067980000000006</v>
      </c>
      <c r="I689" s="106">
        <f>'Detailed Report'!AT685</f>
        <v>10.929517199999999</v>
      </c>
      <c r="J689" s="106">
        <f>'Detailed Report'!AO685</f>
        <v>6.2298249999999999</v>
      </c>
      <c r="K689" s="106">
        <f>'Detailed Report'!AP685</f>
        <v>0.87217549999999999</v>
      </c>
      <c r="L689" s="106">
        <f>'Detailed Report'!AU685/1.14</f>
        <v>0</v>
      </c>
      <c r="M689" s="106">
        <f>'Detailed Report'!AU685-L689</f>
        <v>0</v>
      </c>
      <c r="N689" s="110">
        <f>'Detailed Report'!AW685</f>
        <v>259.89100000000002</v>
      </c>
      <c r="O689" s="111">
        <f t="shared" si="56"/>
        <v>52.380929999999978</v>
      </c>
      <c r="P689" s="110">
        <f>'Detailed Report'!AM685</f>
        <v>0</v>
      </c>
      <c r="Q689" s="110">
        <f>'Detailed Report'!AN685</f>
        <v>0</v>
      </c>
      <c r="R689" s="110">
        <f>'Detailed Report'!AU685/1.14</f>
        <v>0</v>
      </c>
      <c r="S689" s="110">
        <f>'Detailed Report'!AU685-'........... - Otlob'!R689</f>
        <v>0</v>
      </c>
    </row>
    <row r="690" spans="1:19" ht="14.45" customHeight="1" x14ac:dyDescent="0.25">
      <c r="A690" s="105">
        <f>+IF(B690="","",SUBTOTAL(3,B$8:B690))</f>
        <v>683</v>
      </c>
      <c r="B690" s="106" t="str">
        <f>'Detailed Report'!O686</f>
        <v>Fuddruckers - Concord Plaza Mall</v>
      </c>
      <c r="C690" s="107">
        <f>TRUNC('Detailed Report'!Q686,0)</f>
        <v>46045</v>
      </c>
      <c r="D690" s="108">
        <f>'Detailed Report'!P686</f>
        <v>3415979723</v>
      </c>
      <c r="E690" s="106" t="str">
        <f>'Detailed Report'!S686</f>
        <v>Successful</v>
      </c>
      <c r="F690" s="109">
        <f>IF(E690=$E$6,('Detailed Report'!Y686),IF(E690=$E$5,(0),0))</f>
        <v>353.99</v>
      </c>
      <c r="G690" s="106">
        <f>IF(E690=$E$6,('Detailed Report'!AQ686),IF(E690=$E$5,('Detailed Report'!AW686),0))</f>
        <v>310.51754</v>
      </c>
      <c r="H690" s="106">
        <f>'Detailed Report'!AS686</f>
        <v>77.629390000000001</v>
      </c>
      <c r="I690" s="106">
        <f>'Detailed Report'!AT686</f>
        <v>10.8681146</v>
      </c>
      <c r="J690" s="106">
        <f>'Detailed Report'!AO686</f>
        <v>0</v>
      </c>
      <c r="K690" s="106">
        <f>'Detailed Report'!AP686</f>
        <v>0</v>
      </c>
      <c r="L690" s="106">
        <f>'Detailed Report'!AU686/1.14</f>
        <v>31.570175438596497</v>
      </c>
      <c r="M690" s="106">
        <f>'Detailed Report'!AU686-L690</f>
        <v>4.4198245614035052</v>
      </c>
      <c r="N690" s="110">
        <f>'Detailed Report'!AW686</f>
        <v>229.50200000000001</v>
      </c>
      <c r="O690" s="111">
        <f t="shared" si="56"/>
        <v>81.015539999999987</v>
      </c>
      <c r="P690" s="110">
        <f>'Detailed Report'!AM686</f>
        <v>0</v>
      </c>
      <c r="Q690" s="110">
        <f>'Detailed Report'!AN686</f>
        <v>0</v>
      </c>
      <c r="R690" s="110">
        <f>'Detailed Report'!AU686/1.14</f>
        <v>31.570175438596497</v>
      </c>
      <c r="S690" s="110">
        <f>'Detailed Report'!AU686-'........... - Otlob'!R690</f>
        <v>4.4198245614035052</v>
      </c>
    </row>
    <row r="691" spans="1:19" ht="14.45" customHeight="1" x14ac:dyDescent="0.25">
      <c r="A691" s="105">
        <f>+IF(B691="","",SUBTOTAL(3,B$8:B691))</f>
        <v>684</v>
      </c>
      <c r="B691" s="106" t="str">
        <f>'Detailed Report'!O687</f>
        <v>Fuddruckers - New Maadi</v>
      </c>
      <c r="C691" s="107">
        <f>TRUNC('Detailed Report'!Q687,0)</f>
        <v>46045</v>
      </c>
      <c r="D691" s="108">
        <f>'Detailed Report'!P687</f>
        <v>3416015186</v>
      </c>
      <c r="E691" s="106" t="str">
        <f>'Detailed Report'!S687</f>
        <v>Successful</v>
      </c>
      <c r="F691" s="109">
        <f>IF(E691=$E$6,('Detailed Report'!Y687),IF(E691=$E$5,(0),0))</f>
        <v>352</v>
      </c>
      <c r="G691" s="106">
        <f>IF(E691=$E$6,('Detailed Report'!AQ687),IF(E691=$E$5,('Detailed Report'!AW687),0))</f>
        <v>308.77193</v>
      </c>
      <c r="H691" s="106">
        <f>'Detailed Report'!AS687</f>
        <v>77.192980000000006</v>
      </c>
      <c r="I691" s="106">
        <f>'Detailed Report'!AT687</f>
        <v>10.807017200000001</v>
      </c>
      <c r="J691" s="106">
        <f>'Detailed Report'!AO687</f>
        <v>6.16</v>
      </c>
      <c r="K691" s="106">
        <f>'Detailed Report'!AP687</f>
        <v>0.86240000000000006</v>
      </c>
      <c r="L691" s="106">
        <f>'Detailed Report'!AU687/1.14</f>
        <v>0</v>
      </c>
      <c r="M691" s="106">
        <f>'Detailed Report'!AU687-L691</f>
        <v>0</v>
      </c>
      <c r="N691" s="110">
        <f>'Detailed Report'!AW687</f>
        <v>256.97800000000001</v>
      </c>
      <c r="O691" s="111">
        <f t="shared" si="56"/>
        <v>51.793929999999989</v>
      </c>
      <c r="P691" s="110">
        <f>'Detailed Report'!AM687</f>
        <v>0</v>
      </c>
      <c r="Q691" s="110">
        <f>'Detailed Report'!AN687</f>
        <v>0</v>
      </c>
      <c r="R691" s="110">
        <f>'Detailed Report'!AU687/1.14</f>
        <v>0</v>
      </c>
      <c r="S691" s="110">
        <f>'Detailed Report'!AU687-'........... - Otlob'!R691</f>
        <v>0</v>
      </c>
    </row>
    <row r="692" spans="1:19" ht="14.45" customHeight="1" x14ac:dyDescent="0.25">
      <c r="A692" s="105">
        <f>+IF(B692="","",SUBTOTAL(3,B$8:B692))</f>
        <v>685</v>
      </c>
      <c r="B692" s="106" t="str">
        <f>'Detailed Report'!O688</f>
        <v>Fuddruckers - Concord Plaza Mall</v>
      </c>
      <c r="C692" s="107">
        <f>TRUNC('Detailed Report'!Q688,0)</f>
        <v>46045</v>
      </c>
      <c r="D692" s="108">
        <f>'Detailed Report'!P688</f>
        <v>3416049342</v>
      </c>
      <c r="E692" s="106" t="str">
        <f>'Detailed Report'!S688</f>
        <v>Successful</v>
      </c>
      <c r="F692" s="109">
        <f>IF(E692=$E$6,('Detailed Report'!Y688),IF(E692=$E$5,(0),0))</f>
        <v>275.99</v>
      </c>
      <c r="G692" s="106">
        <f>IF(E692=$E$6,('Detailed Report'!AQ688),IF(E692=$E$5,('Detailed Report'!AW688),0))</f>
        <v>242.09648999999999</v>
      </c>
      <c r="H692" s="106">
        <f>'Detailed Report'!AS688</f>
        <v>60.524120000000003</v>
      </c>
      <c r="I692" s="106">
        <f>'Detailed Report'!AT688</f>
        <v>8.4733768000000005</v>
      </c>
      <c r="J692" s="106">
        <f>'Detailed Report'!AO688</f>
        <v>0</v>
      </c>
      <c r="K692" s="106">
        <f>'Detailed Report'!AP688</f>
        <v>0</v>
      </c>
      <c r="L692" s="106">
        <f>'Detailed Report'!AU688/1.14</f>
        <v>0</v>
      </c>
      <c r="M692" s="106">
        <f>'Detailed Report'!AU688-L692</f>
        <v>0</v>
      </c>
      <c r="N692" s="110">
        <f>'Detailed Report'!AW688</f>
        <v>206.99299999999999</v>
      </c>
      <c r="O692" s="111">
        <f t="shared" si="56"/>
        <v>35.103489999999994</v>
      </c>
      <c r="P692" s="110">
        <f>'Detailed Report'!AM688</f>
        <v>0</v>
      </c>
      <c r="Q692" s="110">
        <f>'Detailed Report'!AN688</f>
        <v>0</v>
      </c>
      <c r="R692" s="110">
        <f>'Detailed Report'!AU688/1.14</f>
        <v>0</v>
      </c>
      <c r="S692" s="110">
        <f>'Detailed Report'!AU688-'........... - Otlob'!R692</f>
        <v>0</v>
      </c>
    </row>
    <row r="693" spans="1:19" ht="14.45" customHeight="1" x14ac:dyDescent="0.25">
      <c r="A693" s="105">
        <f>+IF(B693="","",SUBTOTAL(3,B$8:B693))</f>
        <v>686</v>
      </c>
      <c r="B693" s="106" t="str">
        <f>'Detailed Report'!O689</f>
        <v>Fuddruckers - New Maadi</v>
      </c>
      <c r="C693" s="107">
        <f>TRUNC('Detailed Report'!Q689,0)</f>
        <v>46045</v>
      </c>
      <c r="D693" s="108">
        <f>'Detailed Report'!P689</f>
        <v>3416053178</v>
      </c>
      <c r="E693" s="106" t="str">
        <f>'Detailed Report'!S689</f>
        <v>Successful</v>
      </c>
      <c r="F693" s="109">
        <f>IF(E693=$E$6,('Detailed Report'!Y689),IF(E693=$E$5,(0),0))</f>
        <v>760.98</v>
      </c>
      <c r="G693" s="106">
        <f>IF(E693=$E$6,('Detailed Report'!AQ689),IF(E693=$E$5,('Detailed Report'!AW689),0))</f>
        <v>667.52632000000006</v>
      </c>
      <c r="H693" s="106">
        <f>'Detailed Report'!AS689</f>
        <v>166.88158000000001</v>
      </c>
      <c r="I693" s="106">
        <f>'Detailed Report'!AT689</f>
        <v>23.363421200000001</v>
      </c>
      <c r="J693" s="106">
        <f>'Detailed Report'!AO689</f>
        <v>13.31715</v>
      </c>
      <c r="K693" s="106">
        <f>'Detailed Report'!AP689</f>
        <v>1.864401</v>
      </c>
      <c r="L693" s="106">
        <f>'Detailed Report'!AU689/1.14</f>
        <v>25.42982456140351</v>
      </c>
      <c r="M693" s="106">
        <f>'Detailed Report'!AU689-L693</f>
        <v>3.5601754385964881</v>
      </c>
      <c r="N693" s="110">
        <f>'Detailed Report'!AW689</f>
        <v>526.56299999999999</v>
      </c>
      <c r="O693" s="111">
        <f t="shared" si="56"/>
        <v>140.96332000000007</v>
      </c>
      <c r="P693" s="110">
        <f>'Detailed Report'!AM689</f>
        <v>0</v>
      </c>
      <c r="Q693" s="110">
        <f>'Detailed Report'!AN689</f>
        <v>0</v>
      </c>
      <c r="R693" s="110">
        <f>'Detailed Report'!AU689/1.14</f>
        <v>25.42982456140351</v>
      </c>
      <c r="S693" s="110">
        <f>'Detailed Report'!AU689-'........... - Otlob'!R693</f>
        <v>3.5601754385964881</v>
      </c>
    </row>
    <row r="694" spans="1:19" ht="14.45" customHeight="1" x14ac:dyDescent="0.25">
      <c r="A694" s="105">
        <f>+IF(B694="","",SUBTOTAL(3,B$8:B694))</f>
        <v>687</v>
      </c>
      <c r="B694" s="106" t="str">
        <f>'Detailed Report'!O690</f>
        <v>Fuddruckers - Concord Plaza Mall</v>
      </c>
      <c r="C694" s="107">
        <f>TRUNC('Detailed Report'!Q690,0)</f>
        <v>46045</v>
      </c>
      <c r="D694" s="108">
        <f>'Detailed Report'!P690</f>
        <v>3416098592</v>
      </c>
      <c r="E694" s="106" t="str">
        <f>'Detailed Report'!S690</f>
        <v>Successful</v>
      </c>
      <c r="F694" s="109">
        <f>IF(E694=$E$6,('Detailed Report'!Y690),IF(E694=$E$5,(0),0))</f>
        <v>211.99</v>
      </c>
      <c r="G694" s="106">
        <f>IF(E694=$E$6,('Detailed Report'!AQ690),IF(E694=$E$5,('Detailed Report'!AW690),0))</f>
        <v>185.95614</v>
      </c>
      <c r="H694" s="106">
        <f>'Detailed Report'!AS690</f>
        <v>46.489040000000003</v>
      </c>
      <c r="I694" s="106">
        <f>'Detailed Report'!AT690</f>
        <v>6.5084656000000001</v>
      </c>
      <c r="J694" s="106">
        <f>'Detailed Report'!AO690</f>
        <v>3.7098249999999999</v>
      </c>
      <c r="K694" s="106">
        <f>'Detailed Report'!AP690</f>
        <v>0.51937549999999999</v>
      </c>
      <c r="L694" s="106">
        <f>'Detailed Report'!AU690/1.14</f>
        <v>0</v>
      </c>
      <c r="M694" s="106">
        <f>'Detailed Report'!AU690-L694</f>
        <v>0</v>
      </c>
      <c r="N694" s="110">
        <f>'Detailed Report'!AW690</f>
        <v>154.76300000000001</v>
      </c>
      <c r="O694" s="111">
        <f t="shared" si="56"/>
        <v>31.19314</v>
      </c>
      <c r="P694" s="110">
        <f>'Detailed Report'!AM690</f>
        <v>0</v>
      </c>
      <c r="Q694" s="110">
        <f>'Detailed Report'!AN690</f>
        <v>0</v>
      </c>
      <c r="R694" s="110">
        <f>'Detailed Report'!AU690/1.14</f>
        <v>0</v>
      </c>
      <c r="S694" s="110">
        <f>'Detailed Report'!AU690-'........... - Otlob'!R694</f>
        <v>0</v>
      </c>
    </row>
    <row r="695" spans="1:19" ht="14.45" customHeight="1" x14ac:dyDescent="0.25">
      <c r="A695" s="105">
        <f>+IF(B695="","",SUBTOTAL(3,B$8:B695))</f>
        <v>688</v>
      </c>
      <c r="B695" s="106" t="str">
        <f>'Detailed Report'!O691</f>
        <v>Fuddruckers - City Stars</v>
      </c>
      <c r="C695" s="107">
        <f>TRUNC('Detailed Report'!Q691,0)</f>
        <v>46045</v>
      </c>
      <c r="D695" s="108">
        <f>'Detailed Report'!P691</f>
        <v>3416207492</v>
      </c>
      <c r="E695" s="106" t="str">
        <f>'Detailed Report'!S691</f>
        <v>Successful</v>
      </c>
      <c r="F695" s="109">
        <f>IF(E695=$E$6,('Detailed Report'!Y691),IF(E695=$E$5,(0),0))</f>
        <v>417.99</v>
      </c>
      <c r="G695" s="106">
        <f>IF(E695=$E$6,('Detailed Report'!AQ691),IF(E695=$E$5,('Detailed Report'!AW691),0))</f>
        <v>366.65789000000001</v>
      </c>
      <c r="H695" s="106">
        <f>'Detailed Report'!AS691</f>
        <v>91.664469999999994</v>
      </c>
      <c r="I695" s="106">
        <f>'Detailed Report'!AT691</f>
        <v>12.8330258</v>
      </c>
      <c r="J695" s="106">
        <f>'Detailed Report'!AO691</f>
        <v>0</v>
      </c>
      <c r="K695" s="106">
        <f>'Detailed Report'!AP691</f>
        <v>0</v>
      </c>
      <c r="L695" s="106">
        <f>'Detailed Report'!AU691/1.14</f>
        <v>0</v>
      </c>
      <c r="M695" s="106">
        <f>'Detailed Report'!AU691-L695</f>
        <v>0</v>
      </c>
      <c r="N695" s="110">
        <f>'Detailed Report'!AW691</f>
        <v>279.29300000000001</v>
      </c>
      <c r="O695" s="111">
        <f t="shared" si="56"/>
        <v>87.364890000000003</v>
      </c>
      <c r="P695" s="110">
        <f>'Detailed Report'!AM691</f>
        <v>30</v>
      </c>
      <c r="Q695" s="110">
        <f>'Detailed Report'!AN691</f>
        <v>4.2</v>
      </c>
      <c r="R695" s="110">
        <f>'Detailed Report'!AU691/1.14</f>
        <v>0</v>
      </c>
      <c r="S695" s="110">
        <f>'Detailed Report'!AU691-'........... - Otlob'!R695</f>
        <v>0</v>
      </c>
    </row>
    <row r="696" spans="1:19" ht="14.45" customHeight="1" x14ac:dyDescent="0.25">
      <c r="A696" s="105">
        <f>+IF(B696="","",SUBTOTAL(3,B$8:B696))</f>
        <v>689</v>
      </c>
      <c r="B696" s="106" t="str">
        <f>'Detailed Report'!O692</f>
        <v>Fuddruckers - New Maadi</v>
      </c>
      <c r="C696" s="107">
        <f>TRUNC('Detailed Report'!Q692,0)</f>
        <v>46045</v>
      </c>
      <c r="D696" s="108">
        <f>'Detailed Report'!P692</f>
        <v>3416212412</v>
      </c>
      <c r="E696" s="106" t="str">
        <f>'Detailed Report'!S692</f>
        <v>Successful</v>
      </c>
      <c r="F696" s="109">
        <f>IF(E696=$E$6,('Detailed Report'!Y692),IF(E696=$E$5,(0),0))</f>
        <v>488.82</v>
      </c>
      <c r="G696" s="106">
        <f>IF(E696=$E$6,('Detailed Report'!AQ692),IF(E696=$E$5,('Detailed Report'!AW692),0))</f>
        <v>428.78946999999999</v>
      </c>
      <c r="H696" s="106">
        <f>'Detailed Report'!AS692</f>
        <v>107.19737000000001</v>
      </c>
      <c r="I696" s="106">
        <f>'Detailed Report'!AT692</f>
        <v>15.0076318</v>
      </c>
      <c r="J696" s="106">
        <f>'Detailed Report'!AO692</f>
        <v>8.5543499999999995</v>
      </c>
      <c r="K696" s="106">
        <f>'Detailed Report'!AP692</f>
        <v>1.1976089999999999</v>
      </c>
      <c r="L696" s="106">
        <f>'Detailed Report'!AU692/1.14</f>
        <v>0</v>
      </c>
      <c r="M696" s="106">
        <f>'Detailed Report'!AU692-L696</f>
        <v>0</v>
      </c>
      <c r="N696" s="110">
        <f>'Detailed Report'!AW692</f>
        <v>356.863</v>
      </c>
      <c r="O696" s="111">
        <f t="shared" si="56"/>
        <v>71.926469999999995</v>
      </c>
      <c r="P696" s="110">
        <f>'Detailed Report'!AM692</f>
        <v>0</v>
      </c>
      <c r="Q696" s="110">
        <f>'Detailed Report'!AN692</f>
        <v>0</v>
      </c>
      <c r="R696" s="110">
        <f>'Detailed Report'!AU692/1.14</f>
        <v>0</v>
      </c>
      <c r="S696" s="110">
        <f>'Detailed Report'!AU692-'........... - Otlob'!R696</f>
        <v>0</v>
      </c>
    </row>
    <row r="697" spans="1:19" ht="14.45" customHeight="1" x14ac:dyDescent="0.25">
      <c r="A697" s="105">
        <f>+IF(B697="","",SUBTOTAL(3,B$8:B697))</f>
        <v>690</v>
      </c>
      <c r="B697" s="106" t="str">
        <f>'Detailed Report'!O693</f>
        <v>Fuddruckers - New Maadi</v>
      </c>
      <c r="C697" s="107">
        <f>TRUNC('Detailed Report'!Q693,0)</f>
        <v>46045</v>
      </c>
      <c r="D697" s="108">
        <f>'Detailed Report'!P693</f>
        <v>3416215345</v>
      </c>
      <c r="E697" s="106" t="str">
        <f>'Detailed Report'!S693</f>
        <v>Successful</v>
      </c>
      <c r="F697" s="109">
        <f>IF(E697=$E$6,('Detailed Report'!Y693),IF(E697=$E$5,(0),0))</f>
        <v>445.99</v>
      </c>
      <c r="G697" s="106">
        <f>IF(E697=$E$6,('Detailed Report'!AQ693),IF(E697=$E$5,('Detailed Report'!AW693),0))</f>
        <v>391.21929999999998</v>
      </c>
      <c r="H697" s="106">
        <f>'Detailed Report'!AS693</f>
        <v>97.804829999999995</v>
      </c>
      <c r="I697" s="106">
        <f>'Detailed Report'!AT693</f>
        <v>13.692676199999999</v>
      </c>
      <c r="J697" s="106">
        <f>'Detailed Report'!AO693</f>
        <v>7.8048250000000001</v>
      </c>
      <c r="K697" s="106">
        <f>'Detailed Report'!AP693</f>
        <v>1.0926754999999999</v>
      </c>
      <c r="L697" s="106">
        <f>'Detailed Report'!AU693/1.14</f>
        <v>23.67543859649123</v>
      </c>
      <c r="M697" s="106">
        <f>'Detailed Report'!AU693-L697</f>
        <v>3.3145614035087689</v>
      </c>
      <c r="N697" s="110">
        <f>'Detailed Report'!AW693</f>
        <v>298.60500000000002</v>
      </c>
      <c r="O697" s="111">
        <f t="shared" si="56"/>
        <v>92.614299999999957</v>
      </c>
      <c r="P697" s="110">
        <f>'Detailed Report'!AM693</f>
        <v>0</v>
      </c>
      <c r="Q697" s="110">
        <f>'Detailed Report'!AN693</f>
        <v>0</v>
      </c>
      <c r="R697" s="110">
        <f>'Detailed Report'!AU693/1.14</f>
        <v>23.67543859649123</v>
      </c>
      <c r="S697" s="110">
        <f>'Detailed Report'!AU693-'........... - Otlob'!R697</f>
        <v>3.3145614035087689</v>
      </c>
    </row>
    <row r="698" spans="1:19" ht="14.45" customHeight="1" x14ac:dyDescent="0.25">
      <c r="A698" s="105">
        <f>+IF(B698="","",SUBTOTAL(3,B$8:B698))</f>
        <v>691</v>
      </c>
      <c r="B698" s="106" t="str">
        <f>'Detailed Report'!O694</f>
        <v>Fuddruckers - Concord Plaza Mall</v>
      </c>
      <c r="C698" s="107">
        <f>TRUNC('Detailed Report'!Q694,0)</f>
        <v>46045</v>
      </c>
      <c r="D698" s="108">
        <f>'Detailed Report'!P694</f>
        <v>3416216885</v>
      </c>
      <c r="E698" s="106" t="str">
        <f>'Detailed Report'!S694</f>
        <v>Successful</v>
      </c>
      <c r="F698" s="109">
        <f>IF(E698=$E$6,('Detailed Report'!Y694),IF(E698=$E$5,(0),0))</f>
        <v>553.98</v>
      </c>
      <c r="G698" s="106">
        <f>IF(E698=$E$6,('Detailed Report'!AQ694),IF(E698=$E$5,('Detailed Report'!AW694),0))</f>
        <v>485.94736999999998</v>
      </c>
      <c r="H698" s="106">
        <f>'Detailed Report'!AS694</f>
        <v>121.48684</v>
      </c>
      <c r="I698" s="106">
        <f>'Detailed Report'!AT694</f>
        <v>17.008157600000001</v>
      </c>
      <c r="J698" s="106">
        <f>'Detailed Report'!AO694</f>
        <v>9.6946499999999993</v>
      </c>
      <c r="K698" s="106">
        <f>'Detailed Report'!AP694</f>
        <v>1.357251</v>
      </c>
      <c r="L698" s="106">
        <f>'Detailed Report'!AU694/1.14</f>
        <v>28.938596491228076</v>
      </c>
      <c r="M698" s="106">
        <f>'Detailed Report'!AU694-L698</f>
        <v>4.0514035087719265</v>
      </c>
      <c r="N698" s="110">
        <f>'Detailed Report'!AW694</f>
        <v>371.44299999999998</v>
      </c>
      <c r="O698" s="111">
        <f t="shared" si="56"/>
        <v>114.50436999999999</v>
      </c>
      <c r="P698" s="110">
        <f>'Detailed Report'!AM694</f>
        <v>0</v>
      </c>
      <c r="Q698" s="110">
        <f>'Detailed Report'!AN694</f>
        <v>0</v>
      </c>
      <c r="R698" s="110">
        <f>'Detailed Report'!AU694/1.14</f>
        <v>28.938596491228076</v>
      </c>
      <c r="S698" s="110">
        <f>'Detailed Report'!AU694-'........... - Otlob'!R698</f>
        <v>4.0514035087719265</v>
      </c>
    </row>
    <row r="699" spans="1:19" ht="14.45" customHeight="1" x14ac:dyDescent="0.25">
      <c r="A699" s="105">
        <f>+IF(B699="","",SUBTOTAL(3,B$8:B699))</f>
        <v>692</v>
      </c>
      <c r="B699" s="106" t="str">
        <f>'Detailed Report'!O695</f>
        <v>Fuddruckers - City Stars</v>
      </c>
      <c r="C699" s="107">
        <f>TRUNC('Detailed Report'!Q695,0)</f>
        <v>46045</v>
      </c>
      <c r="D699" s="108">
        <f>'Detailed Report'!P695</f>
        <v>3416248732</v>
      </c>
      <c r="E699" s="106" t="str">
        <f>'Detailed Report'!S695</f>
        <v>Successful</v>
      </c>
      <c r="F699" s="109">
        <f>IF(E699=$E$6,('Detailed Report'!Y695),IF(E699=$E$5,(0),0))</f>
        <v>1048.97</v>
      </c>
      <c r="G699" s="106">
        <f>IF(E699=$E$6,('Detailed Report'!AQ695),IF(E699=$E$5,('Detailed Report'!AW695),0))</f>
        <v>920.14912000000004</v>
      </c>
      <c r="H699" s="106">
        <f>'Detailed Report'!AS695</f>
        <v>230.03728000000001</v>
      </c>
      <c r="I699" s="106">
        <f>'Detailed Report'!AT695</f>
        <v>32.205219200000002</v>
      </c>
      <c r="J699" s="106">
        <f>'Detailed Report'!AO695</f>
        <v>18.356974999999998</v>
      </c>
      <c r="K699" s="106">
        <f>'Detailed Report'!AP695</f>
        <v>2.5699765000000001</v>
      </c>
      <c r="L699" s="106">
        <f>'Detailed Report'!AU695/1.14</f>
        <v>24.55263157894737</v>
      </c>
      <c r="M699" s="106">
        <f>'Detailed Report'!AU695-L699</f>
        <v>3.4373684210526285</v>
      </c>
      <c r="N699" s="110">
        <f>'Detailed Report'!AW695</f>
        <v>737.81100000000004</v>
      </c>
      <c r="O699" s="111">
        <f t="shared" si="56"/>
        <v>182.33812</v>
      </c>
      <c r="P699" s="110">
        <f>'Detailed Report'!AM695</f>
        <v>0</v>
      </c>
      <c r="Q699" s="110">
        <f>'Detailed Report'!AN695</f>
        <v>0</v>
      </c>
      <c r="R699" s="110">
        <f>'Detailed Report'!AU695/1.14</f>
        <v>24.55263157894737</v>
      </c>
      <c r="S699" s="110">
        <f>'Detailed Report'!AU695-'........... - Otlob'!R699</f>
        <v>3.4373684210526285</v>
      </c>
    </row>
    <row r="700" spans="1:19" ht="14.45" customHeight="1" x14ac:dyDescent="0.25">
      <c r="A700" s="105">
        <f>+IF(B700="","",SUBTOTAL(3,B$8:B700))</f>
        <v>693</v>
      </c>
      <c r="B700" s="106" t="str">
        <f>'Detailed Report'!O696</f>
        <v>Fuddruckers - Concord Plaza Mall</v>
      </c>
      <c r="C700" s="107">
        <f>TRUNC('Detailed Report'!Q696,0)</f>
        <v>46045</v>
      </c>
      <c r="D700" s="108">
        <f>'Detailed Report'!P696</f>
        <v>3416248947</v>
      </c>
      <c r="E700" s="106" t="str">
        <f>'Detailed Report'!S696</f>
        <v>Successful</v>
      </c>
      <c r="F700" s="109">
        <f>IF(E700=$E$6,('Detailed Report'!Y696),IF(E700=$E$5,(0),0))</f>
        <v>356.99</v>
      </c>
      <c r="G700" s="106">
        <f>IF(E700=$E$6,('Detailed Report'!AQ696),IF(E700=$E$5,('Detailed Report'!AW696),0))</f>
        <v>313.14911999999998</v>
      </c>
      <c r="H700" s="106">
        <f>'Detailed Report'!AS696</f>
        <v>78.287279999999996</v>
      </c>
      <c r="I700" s="106">
        <f>'Detailed Report'!AT696</f>
        <v>10.960219199999999</v>
      </c>
      <c r="J700" s="106">
        <f>'Detailed Report'!AO696</f>
        <v>6.247325</v>
      </c>
      <c r="K700" s="106">
        <f>'Detailed Report'!AP696</f>
        <v>0.87462549999999994</v>
      </c>
      <c r="L700" s="106">
        <f>'Detailed Report'!AU696/1.14</f>
        <v>28.938596491228076</v>
      </c>
      <c r="M700" s="106">
        <f>'Detailed Report'!AU696-L700</f>
        <v>4.0514035087719265</v>
      </c>
      <c r="N700" s="110">
        <f>'Detailed Report'!AW696</f>
        <v>227.631</v>
      </c>
      <c r="O700" s="111">
        <f t="shared" si="56"/>
        <v>85.518119999999982</v>
      </c>
      <c r="P700" s="110">
        <f>'Detailed Report'!AM696</f>
        <v>0</v>
      </c>
      <c r="Q700" s="110">
        <f>'Detailed Report'!AN696</f>
        <v>0</v>
      </c>
      <c r="R700" s="110">
        <f>'Detailed Report'!AU696/1.14</f>
        <v>28.938596491228076</v>
      </c>
      <c r="S700" s="110">
        <f>'Detailed Report'!AU696-'........... - Otlob'!R700</f>
        <v>4.0514035087719265</v>
      </c>
    </row>
    <row r="701" spans="1:19" ht="14.45" customHeight="1" x14ac:dyDescent="0.25">
      <c r="A701" s="105">
        <f>+IF(B701="","",SUBTOTAL(3,B$8:B701))</f>
        <v>694</v>
      </c>
      <c r="B701" s="106" t="str">
        <f>'Detailed Report'!O697</f>
        <v>Fuddruckers - Concord Plaza Mall</v>
      </c>
      <c r="C701" s="107">
        <f>TRUNC('Detailed Report'!Q697,0)</f>
        <v>46045</v>
      </c>
      <c r="D701" s="108">
        <f>'Detailed Report'!P697</f>
        <v>3416250443</v>
      </c>
      <c r="E701" s="106" t="str">
        <f>'Detailed Report'!S697</f>
        <v>Successful</v>
      </c>
      <c r="F701" s="109">
        <f>IF(E701=$E$6,('Detailed Report'!Y697),IF(E701=$E$5,(0),0))</f>
        <v>1925.97</v>
      </c>
      <c r="G701" s="106">
        <f>IF(E701=$E$6,('Detailed Report'!AQ697),IF(E701=$E$5,('Detailed Report'!AW697),0))</f>
        <v>1689.4473700000001</v>
      </c>
      <c r="H701" s="106">
        <f>'Detailed Report'!AS697</f>
        <v>422.36183999999997</v>
      </c>
      <c r="I701" s="106">
        <f>'Detailed Report'!AT697</f>
        <v>59.130657599999999</v>
      </c>
      <c r="J701" s="106">
        <f>'Detailed Report'!AO697</f>
        <v>33.704553750000002</v>
      </c>
      <c r="K701" s="106">
        <f>'Detailed Report'!AP697</f>
        <v>4.7186375250000001</v>
      </c>
      <c r="L701" s="106">
        <f>'Detailed Report'!AU697/1.14</f>
        <v>0</v>
      </c>
      <c r="M701" s="106">
        <f>'Detailed Report'!AU697-L701</f>
        <v>0</v>
      </c>
      <c r="N701" s="110">
        <f>'Detailed Report'!AW697</f>
        <v>1406.0540000000001</v>
      </c>
      <c r="O701" s="111">
        <f t="shared" si="56"/>
        <v>283.39337</v>
      </c>
      <c r="P701" s="110">
        <f>'Detailed Report'!AM697</f>
        <v>0</v>
      </c>
      <c r="Q701" s="110">
        <f>'Detailed Report'!AN697</f>
        <v>0</v>
      </c>
      <c r="R701" s="110">
        <f>'Detailed Report'!AU697/1.14</f>
        <v>0</v>
      </c>
      <c r="S701" s="110">
        <f>'Detailed Report'!AU697-'........... - Otlob'!R701</f>
        <v>0</v>
      </c>
    </row>
    <row r="702" spans="1:19" ht="14.45" customHeight="1" x14ac:dyDescent="0.25">
      <c r="A702" s="105">
        <f>+IF(B702="","",SUBTOTAL(3,B$8:B702))</f>
        <v>695</v>
      </c>
      <c r="B702" s="106" t="str">
        <f>'Detailed Report'!O698</f>
        <v>Fuddruckers - Concord Plaza Mall</v>
      </c>
      <c r="C702" s="107">
        <f>TRUNC('Detailed Report'!Q698,0)</f>
        <v>46045</v>
      </c>
      <c r="D702" s="108">
        <f>'Detailed Report'!P698</f>
        <v>3416261106</v>
      </c>
      <c r="E702" s="106" t="str">
        <f>'Detailed Report'!S698</f>
        <v>Successful</v>
      </c>
      <c r="F702" s="109">
        <f>IF(E702=$E$6,('Detailed Report'!Y698),IF(E702=$E$5,(0),0))</f>
        <v>1891.97</v>
      </c>
      <c r="G702" s="106">
        <f>IF(E702=$E$6,('Detailed Report'!AQ698),IF(E702=$E$5,('Detailed Report'!AW698),0))</f>
        <v>1659.6228100000001</v>
      </c>
      <c r="H702" s="106">
        <f>'Detailed Report'!AS698</f>
        <v>414.90570000000002</v>
      </c>
      <c r="I702" s="106">
        <f>'Detailed Report'!AT698</f>
        <v>58.086798000000002</v>
      </c>
      <c r="J702" s="106">
        <f>'Detailed Report'!AO698</f>
        <v>33.109555499999999</v>
      </c>
      <c r="K702" s="106">
        <f>'Detailed Report'!AP698</f>
        <v>4.6353377699999996</v>
      </c>
      <c r="L702" s="106">
        <f>'Detailed Report'!AU698/1.14</f>
        <v>0</v>
      </c>
      <c r="M702" s="106">
        <f>'Detailed Report'!AU698-L702</f>
        <v>0</v>
      </c>
      <c r="N702" s="110">
        <f>'Detailed Report'!AW698</f>
        <v>1381.2329999999999</v>
      </c>
      <c r="O702" s="111">
        <f t="shared" si="56"/>
        <v>278.38981000000013</v>
      </c>
      <c r="P702" s="110">
        <f>'Detailed Report'!AM698</f>
        <v>0</v>
      </c>
      <c r="Q702" s="110">
        <f>'Detailed Report'!AN698</f>
        <v>0</v>
      </c>
      <c r="R702" s="110">
        <f>'Detailed Report'!AU698/1.14</f>
        <v>0</v>
      </c>
      <c r="S702" s="110">
        <f>'Detailed Report'!AU698-'........... - Otlob'!R702</f>
        <v>0</v>
      </c>
    </row>
    <row r="703" spans="1:19" ht="14.45" customHeight="1" x14ac:dyDescent="0.25">
      <c r="A703" s="105">
        <f>+IF(B703="","",SUBTOTAL(3,B$8:B703))</f>
        <v>696</v>
      </c>
      <c r="B703" s="106" t="str">
        <f>'Detailed Report'!O699</f>
        <v>Fuddruckers - Concord Plaza Mall</v>
      </c>
      <c r="C703" s="107">
        <f>TRUNC('Detailed Report'!Q699,0)</f>
        <v>46045</v>
      </c>
      <c r="D703" s="108">
        <f>'Detailed Report'!P699</f>
        <v>3416276320</v>
      </c>
      <c r="E703" s="106" t="str">
        <f>'Detailed Report'!S699</f>
        <v>Successful</v>
      </c>
      <c r="F703" s="109">
        <f>IF(E703=$E$6,('Detailed Report'!Y699),IF(E703=$E$5,(0),0))</f>
        <v>1717.99</v>
      </c>
      <c r="G703" s="106">
        <f>IF(E703=$E$6,('Detailed Report'!AQ699),IF(E703=$E$5,('Detailed Report'!AW699),0))</f>
        <v>1507.0087699999999</v>
      </c>
      <c r="H703" s="106">
        <f>'Detailed Report'!AS699</f>
        <v>376.75218999999998</v>
      </c>
      <c r="I703" s="106">
        <f>'Detailed Report'!AT699</f>
        <v>52.745306599999999</v>
      </c>
      <c r="J703" s="106">
        <f>'Detailed Report'!AO699</f>
        <v>30.06485125</v>
      </c>
      <c r="K703" s="106">
        <f>'Detailed Report'!AP699</f>
        <v>4.2090791750000003</v>
      </c>
      <c r="L703" s="106">
        <f>'Detailed Report'!AU699/1.14</f>
        <v>0</v>
      </c>
      <c r="M703" s="106">
        <f>'Detailed Report'!AU699-L703</f>
        <v>0</v>
      </c>
      <c r="N703" s="110">
        <f>'Detailed Report'!AW699</f>
        <v>1254.2190000000001</v>
      </c>
      <c r="O703" s="111">
        <f t="shared" si="56"/>
        <v>252.78976999999986</v>
      </c>
      <c r="P703" s="110">
        <f>'Detailed Report'!AM699</f>
        <v>0</v>
      </c>
      <c r="Q703" s="110">
        <f>'Detailed Report'!AN699</f>
        <v>0</v>
      </c>
      <c r="R703" s="110">
        <f>'Detailed Report'!AU699/1.14</f>
        <v>0</v>
      </c>
      <c r="S703" s="110">
        <f>'Detailed Report'!AU699-'........... - Otlob'!R703</f>
        <v>0</v>
      </c>
    </row>
    <row r="704" spans="1:19" ht="14.45" customHeight="1" x14ac:dyDescent="0.25">
      <c r="A704" s="105">
        <f>+IF(B704="","",SUBTOTAL(3,B$8:B704))</f>
        <v>697</v>
      </c>
      <c r="B704" s="106" t="str">
        <f>'Detailed Report'!O700</f>
        <v>Fuddruckers - Concord Plaza Mall</v>
      </c>
      <c r="C704" s="107">
        <f>TRUNC('Detailed Report'!Q700,0)</f>
        <v>46045</v>
      </c>
      <c r="D704" s="108">
        <f>'Detailed Report'!P700</f>
        <v>3416295968</v>
      </c>
      <c r="E704" s="106" t="str">
        <f>'Detailed Report'!S700</f>
        <v>Successful</v>
      </c>
      <c r="F704" s="109">
        <f>IF(E704=$E$6,('Detailed Report'!Y700),IF(E704=$E$5,(0),0))</f>
        <v>319.99</v>
      </c>
      <c r="G704" s="106">
        <f>IF(E704=$E$6,('Detailed Report'!AQ700),IF(E704=$E$5,('Detailed Report'!AW700),0))</f>
        <v>280.69297999999998</v>
      </c>
      <c r="H704" s="106">
        <f>'Detailed Report'!AS700</f>
        <v>70.173249999999996</v>
      </c>
      <c r="I704" s="106">
        <f>'Detailed Report'!AT700</f>
        <v>9.8242550000000008</v>
      </c>
      <c r="J704" s="106">
        <f>'Detailed Report'!AO700</f>
        <v>5.5998250000000001</v>
      </c>
      <c r="K704" s="106">
        <f>'Detailed Report'!AP700</f>
        <v>0.78397550000000005</v>
      </c>
      <c r="L704" s="106">
        <f>'Detailed Report'!AU700/1.14</f>
        <v>28.061403508771932</v>
      </c>
      <c r="M704" s="106">
        <f>'Detailed Report'!AU700-L704</f>
        <v>3.9285964912280669</v>
      </c>
      <c r="N704" s="110">
        <f>'Detailed Report'!AW700</f>
        <v>201.619</v>
      </c>
      <c r="O704" s="111">
        <f t="shared" si="56"/>
        <v>79.073979999999978</v>
      </c>
      <c r="P704" s="110">
        <f>'Detailed Report'!AM700</f>
        <v>0</v>
      </c>
      <c r="Q704" s="110">
        <f>'Detailed Report'!AN700</f>
        <v>0</v>
      </c>
      <c r="R704" s="110">
        <f>'Detailed Report'!AU700/1.14</f>
        <v>28.061403508771932</v>
      </c>
      <c r="S704" s="110">
        <f>'Detailed Report'!AU700-'........... - Otlob'!R704</f>
        <v>3.9285964912280669</v>
      </c>
    </row>
    <row r="705" spans="1:19" ht="14.45" customHeight="1" x14ac:dyDescent="0.25">
      <c r="A705" s="105">
        <f>+IF(B705="","",SUBTOTAL(3,B$8:B705))</f>
        <v>698</v>
      </c>
      <c r="B705" s="106" t="str">
        <f>'Detailed Report'!O701</f>
        <v>Fuddruckers - New Maadi</v>
      </c>
      <c r="C705" s="107">
        <f>TRUNC('Detailed Report'!Q701,0)</f>
        <v>46045</v>
      </c>
      <c r="D705" s="108">
        <f>'Detailed Report'!P701</f>
        <v>3416324933</v>
      </c>
      <c r="E705" s="106" t="str">
        <f>'Detailed Report'!S701</f>
        <v>Successful</v>
      </c>
      <c r="F705" s="109">
        <f>IF(E705=$E$6,('Detailed Report'!Y701),IF(E705=$E$5,(0),0))</f>
        <v>771.99</v>
      </c>
      <c r="G705" s="106">
        <f>IF(E705=$E$6,('Detailed Report'!AQ701),IF(E705=$E$5,('Detailed Report'!AW701),0))</f>
        <v>677.18421000000001</v>
      </c>
      <c r="H705" s="106">
        <f>'Detailed Report'!AS701</f>
        <v>169.29605000000001</v>
      </c>
      <c r="I705" s="106">
        <f>'Detailed Report'!AT701</f>
        <v>23.701447000000002</v>
      </c>
      <c r="J705" s="106">
        <f>'Detailed Report'!AO701</f>
        <v>13.509824999999999</v>
      </c>
      <c r="K705" s="106">
        <f>'Detailed Report'!AP701</f>
        <v>1.8913755000000001</v>
      </c>
      <c r="L705" s="106">
        <f>'Detailed Report'!AU701/1.14</f>
        <v>0</v>
      </c>
      <c r="M705" s="106">
        <f>'Detailed Report'!AU701-L705</f>
        <v>0</v>
      </c>
      <c r="N705" s="110">
        <f>'Detailed Report'!AW701</f>
        <v>563.59100000000001</v>
      </c>
      <c r="O705" s="111">
        <f t="shared" si="56"/>
        <v>113.59321</v>
      </c>
      <c r="P705" s="110">
        <f>'Detailed Report'!AM701</f>
        <v>0</v>
      </c>
      <c r="Q705" s="110">
        <f>'Detailed Report'!AN701</f>
        <v>0</v>
      </c>
      <c r="R705" s="110">
        <f>'Detailed Report'!AU701/1.14</f>
        <v>0</v>
      </c>
      <c r="S705" s="110">
        <f>'Detailed Report'!AU701-'........... - Otlob'!R705</f>
        <v>0</v>
      </c>
    </row>
    <row r="706" spans="1:19" ht="14.45" customHeight="1" x14ac:dyDescent="0.25">
      <c r="A706" s="105">
        <f>+IF(B706="","",SUBTOTAL(3,B$8:B706))</f>
        <v>699</v>
      </c>
      <c r="B706" s="106" t="str">
        <f>'Detailed Report'!O702</f>
        <v>Fuddruckers - Concord Plaza Mall</v>
      </c>
      <c r="C706" s="107">
        <f>TRUNC('Detailed Report'!Q702,0)</f>
        <v>46045</v>
      </c>
      <c r="D706" s="108">
        <f>'Detailed Report'!P702</f>
        <v>3416356084</v>
      </c>
      <c r="E706" s="106" t="str">
        <f>'Detailed Report'!S702</f>
        <v>Successful</v>
      </c>
      <c r="F706" s="109">
        <f>IF(E706=$E$6,('Detailed Report'!Y702),IF(E706=$E$5,(0),0))</f>
        <v>1229.6400000000001</v>
      </c>
      <c r="G706" s="106">
        <f>IF(E706=$E$6,('Detailed Report'!AQ702),IF(E706=$E$5,('Detailed Report'!AW702),0))</f>
        <v>1078.63158</v>
      </c>
      <c r="H706" s="106">
        <f>'Detailed Report'!AS702</f>
        <v>269.65789999999998</v>
      </c>
      <c r="I706" s="106">
        <f>'Detailed Report'!AT702</f>
        <v>37.752105999999998</v>
      </c>
      <c r="J706" s="106">
        <f>'Detailed Report'!AO702</f>
        <v>21.518699999999999</v>
      </c>
      <c r="K706" s="106">
        <f>'Detailed Report'!AP702</f>
        <v>3.0126179999999998</v>
      </c>
      <c r="L706" s="106">
        <f>'Detailed Report'!AU702/1.14</f>
        <v>27.184210526315791</v>
      </c>
      <c r="M706" s="106">
        <f>'Detailed Report'!AU702-L706</f>
        <v>3.8057894736842073</v>
      </c>
      <c r="N706" s="110">
        <f>'Detailed Report'!AW702</f>
        <v>866.70899999999995</v>
      </c>
      <c r="O706" s="111">
        <f t="shared" si="56"/>
        <v>211.92258000000004</v>
      </c>
      <c r="P706" s="110">
        <f>'Detailed Report'!AM702</f>
        <v>0</v>
      </c>
      <c r="Q706" s="110">
        <f>'Detailed Report'!AN702</f>
        <v>0</v>
      </c>
      <c r="R706" s="110">
        <f>'Detailed Report'!AU702/1.14</f>
        <v>27.184210526315791</v>
      </c>
      <c r="S706" s="110">
        <f>'Detailed Report'!AU702-'........... - Otlob'!R706</f>
        <v>3.8057894736842073</v>
      </c>
    </row>
    <row r="707" spans="1:19" ht="14.45" customHeight="1" x14ac:dyDescent="0.25">
      <c r="A707" s="105">
        <f>+IF(B707="","",SUBTOTAL(3,B$8:B707))</f>
        <v>700</v>
      </c>
      <c r="B707" s="106" t="str">
        <f>'Detailed Report'!O703</f>
        <v>Fuddruckers - Concord Plaza Mall</v>
      </c>
      <c r="C707" s="107">
        <f>TRUNC('Detailed Report'!Q703,0)</f>
        <v>46045</v>
      </c>
      <c r="D707" s="108">
        <f>'Detailed Report'!P703</f>
        <v>3416358053</v>
      </c>
      <c r="E707" s="106" t="str">
        <f>'Detailed Report'!S703</f>
        <v>Successful</v>
      </c>
      <c r="F707" s="109">
        <f>IF(E707=$E$6,('Detailed Report'!Y703),IF(E707=$E$5,(0),0))</f>
        <v>987</v>
      </c>
      <c r="G707" s="106">
        <f>IF(E707=$E$6,('Detailed Report'!AQ703),IF(E707=$E$5,('Detailed Report'!AW703),0))</f>
        <v>865.78947000000005</v>
      </c>
      <c r="H707" s="106">
        <f>'Detailed Report'!AS703</f>
        <v>216.44737000000001</v>
      </c>
      <c r="I707" s="106">
        <f>'Detailed Report'!AT703</f>
        <v>30.3026318</v>
      </c>
      <c r="J707" s="106">
        <f>'Detailed Report'!AO703</f>
        <v>0</v>
      </c>
      <c r="K707" s="106">
        <f>'Detailed Report'!AP703</f>
        <v>0</v>
      </c>
      <c r="L707" s="106">
        <f>'Detailed Report'!AU703/1.14</f>
        <v>0</v>
      </c>
      <c r="M707" s="106">
        <f>'Detailed Report'!AU703-L707</f>
        <v>0</v>
      </c>
      <c r="N707" s="110">
        <f>'Detailed Report'!AW703</f>
        <v>740.25</v>
      </c>
      <c r="O707" s="111">
        <f t="shared" si="56"/>
        <v>125.53947000000005</v>
      </c>
      <c r="P707" s="110">
        <f>'Detailed Report'!AM703</f>
        <v>0</v>
      </c>
      <c r="Q707" s="110">
        <f>'Detailed Report'!AN703</f>
        <v>0</v>
      </c>
      <c r="R707" s="110">
        <f>'Detailed Report'!AU703/1.14</f>
        <v>0</v>
      </c>
      <c r="S707" s="110">
        <f>'Detailed Report'!AU703-'........... - Otlob'!R707</f>
        <v>0</v>
      </c>
    </row>
    <row r="708" spans="1:19" ht="14.45" customHeight="1" x14ac:dyDescent="0.25">
      <c r="A708" s="105">
        <f>+IF(B708="","",SUBTOTAL(3,B$8:B708))</f>
        <v>701</v>
      </c>
      <c r="B708" s="106" t="str">
        <f>'Detailed Report'!O704</f>
        <v>Fuddruckers - Concord Plaza Mall</v>
      </c>
      <c r="C708" s="107">
        <f>TRUNC('Detailed Report'!Q704,0)</f>
        <v>46046</v>
      </c>
      <c r="D708" s="108">
        <f>'Detailed Report'!P704</f>
        <v>3416866934</v>
      </c>
      <c r="E708" s="106" t="str">
        <f>'Detailed Report'!S704</f>
        <v>Successful</v>
      </c>
      <c r="F708" s="109">
        <f>IF(E708=$E$6,('Detailed Report'!Y704),IF(E708=$E$5,(0),0))</f>
        <v>2401.6799999999998</v>
      </c>
      <c r="G708" s="106">
        <f>IF(E708=$E$6,('Detailed Report'!AQ704),IF(E708=$E$5,('Detailed Report'!AW704),0))</f>
        <v>2106.73684</v>
      </c>
      <c r="H708" s="106">
        <f>'Detailed Report'!AS704</f>
        <v>526.68421000000001</v>
      </c>
      <c r="I708" s="106">
        <f>'Detailed Report'!AT704</f>
        <v>73.735789400000002</v>
      </c>
      <c r="J708" s="106">
        <f>'Detailed Report'!AO704</f>
        <v>42.02939825</v>
      </c>
      <c r="K708" s="106">
        <f>'Detailed Report'!AP704</f>
        <v>5.8841157549999998</v>
      </c>
      <c r="L708" s="106">
        <f>'Detailed Report'!AU704/1.14</f>
        <v>0</v>
      </c>
      <c r="M708" s="106">
        <f>'Detailed Report'!AU704-L708</f>
        <v>0</v>
      </c>
      <c r="N708" s="110">
        <f>'Detailed Report'!AW704</f>
        <v>1753.346</v>
      </c>
      <c r="O708" s="111">
        <f t="shared" si="56"/>
        <v>353.39084000000003</v>
      </c>
      <c r="P708" s="110">
        <f>'Detailed Report'!AM704</f>
        <v>0</v>
      </c>
      <c r="Q708" s="110">
        <f>'Detailed Report'!AN704</f>
        <v>0</v>
      </c>
      <c r="R708" s="110">
        <f>'Detailed Report'!AU704/1.14</f>
        <v>0</v>
      </c>
      <c r="S708" s="110">
        <f>'Detailed Report'!AU704-'........... - Otlob'!R708</f>
        <v>0</v>
      </c>
    </row>
    <row r="709" spans="1:19" ht="14.45" customHeight="1" x14ac:dyDescent="0.25">
      <c r="A709" s="105">
        <f>+IF(B709="","",SUBTOTAL(3,B$8:B709))</f>
        <v>702</v>
      </c>
      <c r="B709" s="106" t="str">
        <f>'Detailed Report'!O705</f>
        <v>Fuddruckers - Concord Plaza Mall</v>
      </c>
      <c r="C709" s="107">
        <f>TRUNC('Detailed Report'!Q705,0)</f>
        <v>46046</v>
      </c>
      <c r="D709" s="108">
        <f>'Detailed Report'!P705</f>
        <v>3416938007</v>
      </c>
      <c r="E709" s="106" t="str">
        <f>'Detailed Report'!S705</f>
        <v>Successful</v>
      </c>
      <c r="F709" s="109">
        <f>IF(E709=$E$6,('Detailed Report'!Y705),IF(E709=$E$5,(0),0))</f>
        <v>2069.94</v>
      </c>
      <c r="G709" s="106">
        <f>IF(E709=$E$6,('Detailed Report'!AQ705),IF(E709=$E$5,('Detailed Report'!AW705),0))</f>
        <v>1815.73684</v>
      </c>
      <c r="H709" s="106">
        <f>'Detailed Report'!AS705</f>
        <v>453.93421000000001</v>
      </c>
      <c r="I709" s="106">
        <f>'Detailed Report'!AT705</f>
        <v>63.550789399999999</v>
      </c>
      <c r="J709" s="106">
        <f>'Detailed Report'!AO705</f>
        <v>36.223948249999999</v>
      </c>
      <c r="K709" s="106">
        <f>'Detailed Report'!AP705</f>
        <v>5.0713527550000004</v>
      </c>
      <c r="L709" s="106">
        <f>'Detailed Report'!AU705/1.14</f>
        <v>30.692982456140356</v>
      </c>
      <c r="M709" s="106">
        <f>'Detailed Report'!AU705-L709</f>
        <v>4.2970175438596456</v>
      </c>
      <c r="N709" s="110">
        <f>'Detailed Report'!AW705</f>
        <v>1441.97</v>
      </c>
      <c r="O709" s="111">
        <f t="shared" si="56"/>
        <v>373.76684</v>
      </c>
      <c r="P709" s="110">
        <f>'Detailed Report'!AM705</f>
        <v>30</v>
      </c>
      <c r="Q709" s="110">
        <f>'Detailed Report'!AN705</f>
        <v>4.2</v>
      </c>
      <c r="R709" s="110">
        <f>'Detailed Report'!AU705/1.14</f>
        <v>30.692982456140356</v>
      </c>
      <c r="S709" s="110">
        <f>'Detailed Report'!AU705-'........... - Otlob'!R709</f>
        <v>4.2970175438596456</v>
      </c>
    </row>
    <row r="710" spans="1:19" ht="14.45" customHeight="1" x14ac:dyDescent="0.25">
      <c r="A710" s="105">
        <f>+IF(B710="","",SUBTOTAL(3,B$8:B710))</f>
        <v>703</v>
      </c>
      <c r="B710" s="106" t="str">
        <f>'Detailed Report'!O706</f>
        <v>Fuddruckers - City Stars</v>
      </c>
      <c r="C710" s="107">
        <f>TRUNC('Detailed Report'!Q706,0)</f>
        <v>46046</v>
      </c>
      <c r="D710" s="108">
        <f>'Detailed Report'!P706</f>
        <v>3417084112</v>
      </c>
      <c r="E710" s="106" t="str">
        <f>'Detailed Report'!S706</f>
        <v>Successful</v>
      </c>
      <c r="F710" s="109">
        <f>IF(E710=$E$6,('Detailed Report'!Y706),IF(E710=$E$5,(0),0))</f>
        <v>703.99</v>
      </c>
      <c r="G710" s="106">
        <f>IF(E710=$E$6,('Detailed Report'!AQ706),IF(E710=$E$5,('Detailed Report'!AW706),0))</f>
        <v>617.53508999999997</v>
      </c>
      <c r="H710" s="106">
        <f>'Detailed Report'!AS706</f>
        <v>154.38377</v>
      </c>
      <c r="I710" s="106">
        <f>'Detailed Report'!AT706</f>
        <v>21.613727799999999</v>
      </c>
      <c r="J710" s="106">
        <f>'Detailed Report'!AO706</f>
        <v>12.319825</v>
      </c>
      <c r="K710" s="106">
        <f>'Detailed Report'!AP706</f>
        <v>1.7247755</v>
      </c>
      <c r="L710" s="106">
        <f>'Detailed Report'!AU706/1.14</f>
        <v>0</v>
      </c>
      <c r="M710" s="106">
        <f>'Detailed Report'!AU706-L710</f>
        <v>0</v>
      </c>
      <c r="N710" s="110">
        <f>'Detailed Report'!AW706</f>
        <v>479.74799999999999</v>
      </c>
      <c r="O710" s="111">
        <f t="shared" si="56"/>
        <v>137.78708999999998</v>
      </c>
      <c r="P710" s="110">
        <f>'Detailed Report'!AM706</f>
        <v>30</v>
      </c>
      <c r="Q710" s="110">
        <f>'Detailed Report'!AN706</f>
        <v>4.2</v>
      </c>
      <c r="R710" s="110">
        <f>'Detailed Report'!AU706/1.14</f>
        <v>0</v>
      </c>
      <c r="S710" s="110">
        <f>'Detailed Report'!AU706-'........... - Otlob'!R710</f>
        <v>0</v>
      </c>
    </row>
    <row r="711" spans="1:19" ht="14.45" customHeight="1" x14ac:dyDescent="0.25">
      <c r="A711" s="105">
        <f>+IF(B711="","",SUBTOTAL(3,B$8:B711))</f>
        <v>704</v>
      </c>
      <c r="B711" s="106" t="str">
        <f>'Detailed Report'!O707</f>
        <v>Fuddruckers - Concord Plaza Mall</v>
      </c>
      <c r="C711" s="107">
        <f>TRUNC('Detailed Report'!Q707,0)</f>
        <v>46046</v>
      </c>
      <c r="D711" s="108">
        <f>'Detailed Report'!P707</f>
        <v>3417110816</v>
      </c>
      <c r="E711" s="106" t="str">
        <f>'Detailed Report'!S707</f>
        <v>Successful</v>
      </c>
      <c r="F711" s="109">
        <f>IF(E711=$E$6,('Detailed Report'!Y707),IF(E711=$E$5,(0),0))</f>
        <v>759.98</v>
      </c>
      <c r="G711" s="106">
        <f>IF(E711=$E$6,('Detailed Report'!AQ707),IF(E711=$E$5,('Detailed Report'!AW707),0))</f>
        <v>666.64912000000004</v>
      </c>
      <c r="H711" s="106">
        <f>'Detailed Report'!AS707</f>
        <v>166.66228000000001</v>
      </c>
      <c r="I711" s="106">
        <f>'Detailed Report'!AT707</f>
        <v>23.3327192</v>
      </c>
      <c r="J711" s="106">
        <f>'Detailed Report'!AO707</f>
        <v>13.29965</v>
      </c>
      <c r="K711" s="106">
        <f>'Detailed Report'!AP707</f>
        <v>1.8619509999999999</v>
      </c>
      <c r="L711" s="106">
        <f>'Detailed Report'!AU707/1.14</f>
        <v>29.815789473684216</v>
      </c>
      <c r="M711" s="106">
        <f>'Detailed Report'!AU707-L711</f>
        <v>4.174210526315786</v>
      </c>
      <c r="N711" s="110">
        <f>'Detailed Report'!AW707</f>
        <v>520.83299999999997</v>
      </c>
      <c r="O711" s="111">
        <f t="shared" si="56"/>
        <v>145.81612000000007</v>
      </c>
      <c r="P711" s="110">
        <f>'Detailed Report'!AM707</f>
        <v>0</v>
      </c>
      <c r="Q711" s="110">
        <f>'Detailed Report'!AN707</f>
        <v>0</v>
      </c>
      <c r="R711" s="110">
        <f>'Detailed Report'!AU707/1.14</f>
        <v>29.815789473684216</v>
      </c>
      <c r="S711" s="110">
        <f>'Detailed Report'!AU707-'........... - Otlob'!R711</f>
        <v>4.174210526315786</v>
      </c>
    </row>
    <row r="712" spans="1:19" ht="14.45" customHeight="1" x14ac:dyDescent="0.25">
      <c r="A712" s="105">
        <f>+IF(B712="","",SUBTOTAL(3,B$8:B712))</f>
        <v>705</v>
      </c>
      <c r="B712" s="106" t="str">
        <f>'Detailed Report'!O708</f>
        <v>Fuddruckers - Concord Plaza Mall</v>
      </c>
      <c r="C712" s="107">
        <f>TRUNC('Detailed Report'!Q708,0)</f>
        <v>46046</v>
      </c>
      <c r="D712" s="108">
        <f>'Detailed Report'!P708</f>
        <v>3417112827</v>
      </c>
      <c r="E712" s="106" t="str">
        <f>'Detailed Report'!S708</f>
        <v>Successful</v>
      </c>
      <c r="F712" s="109">
        <f>IF(E712=$E$6,('Detailed Report'!Y708),IF(E712=$E$5,(0),0))</f>
        <v>249.99</v>
      </c>
      <c r="G712" s="106">
        <f>IF(E712=$E$6,('Detailed Report'!AQ708),IF(E712=$E$5,('Detailed Report'!AW708),0))</f>
        <v>219.28946999999999</v>
      </c>
      <c r="H712" s="106">
        <f>'Detailed Report'!AS708</f>
        <v>54.822369999999999</v>
      </c>
      <c r="I712" s="106">
        <f>'Detailed Report'!AT708</f>
        <v>7.6751317999999999</v>
      </c>
      <c r="J712" s="106">
        <f>'Detailed Report'!AO708</f>
        <v>4.3748250000000004</v>
      </c>
      <c r="K712" s="106">
        <f>'Detailed Report'!AP708</f>
        <v>0.61247549999999995</v>
      </c>
      <c r="L712" s="106">
        <f>'Detailed Report'!AU708/1.14</f>
        <v>28.061403508771932</v>
      </c>
      <c r="M712" s="106">
        <f>'Detailed Report'!AU708-L712</f>
        <v>3.9285964912280669</v>
      </c>
      <c r="N712" s="110">
        <f>'Detailed Report'!AW708</f>
        <v>150.51499999999999</v>
      </c>
      <c r="O712" s="111">
        <f t="shared" si="56"/>
        <v>68.774470000000008</v>
      </c>
      <c r="P712" s="110">
        <f>'Detailed Report'!AM708</f>
        <v>0</v>
      </c>
      <c r="Q712" s="110">
        <f>'Detailed Report'!AN708</f>
        <v>0</v>
      </c>
      <c r="R712" s="110">
        <f>'Detailed Report'!AU708/1.14</f>
        <v>28.061403508771932</v>
      </c>
      <c r="S712" s="110">
        <f>'Detailed Report'!AU708-'........... - Otlob'!R712</f>
        <v>3.9285964912280669</v>
      </c>
    </row>
    <row r="713" spans="1:19" ht="14.45" customHeight="1" x14ac:dyDescent="0.25">
      <c r="A713" s="105">
        <f>+IF(B713="","",SUBTOTAL(3,B$8:B713))</f>
        <v>706</v>
      </c>
      <c r="B713" s="106" t="str">
        <f>'Detailed Report'!O709</f>
        <v>Fuddruckers - Concord Plaza Mall</v>
      </c>
      <c r="C713" s="107">
        <f>TRUNC('Detailed Report'!Q709,0)</f>
        <v>46046</v>
      </c>
      <c r="D713" s="108">
        <f>'Detailed Report'!P709</f>
        <v>3417118842</v>
      </c>
      <c r="E713" s="106" t="str">
        <f>'Detailed Report'!S709</f>
        <v>Successful</v>
      </c>
      <c r="F713" s="109">
        <f>IF(E713=$E$6,('Detailed Report'!Y709),IF(E713=$E$5,(0),0))</f>
        <v>250.99</v>
      </c>
      <c r="G713" s="106">
        <f>IF(E713=$E$6,('Detailed Report'!AQ709),IF(E713=$E$5,('Detailed Report'!AW709),0))</f>
        <v>220.16667000000001</v>
      </c>
      <c r="H713" s="106">
        <f>'Detailed Report'!AS709</f>
        <v>55.041670000000003</v>
      </c>
      <c r="I713" s="106">
        <f>'Detailed Report'!AT709</f>
        <v>7.7058337999999997</v>
      </c>
      <c r="J713" s="106">
        <f>'Detailed Report'!AO709</f>
        <v>4.3923249999999996</v>
      </c>
      <c r="K713" s="106">
        <f>'Detailed Report'!AP709</f>
        <v>0.61492550000000001</v>
      </c>
      <c r="L713" s="106">
        <f>'Detailed Report'!AU709/1.14</f>
        <v>27.184210526315791</v>
      </c>
      <c r="M713" s="106">
        <f>'Detailed Report'!AU709-L713</f>
        <v>3.8057894736842073</v>
      </c>
      <c r="N713" s="110">
        <f>'Detailed Report'!AW709</f>
        <v>152.245</v>
      </c>
      <c r="O713" s="111">
        <f t="shared" ref="O713:O776" si="57">G713-N713</f>
        <v>67.921670000000006</v>
      </c>
      <c r="P713" s="110">
        <f>'Detailed Report'!AM709</f>
        <v>0</v>
      </c>
      <c r="Q713" s="110">
        <f>'Detailed Report'!AN709</f>
        <v>0</v>
      </c>
      <c r="R713" s="110">
        <f>'Detailed Report'!AU709/1.14</f>
        <v>27.184210526315791</v>
      </c>
      <c r="S713" s="110">
        <f>'Detailed Report'!AU709-'........... - Otlob'!R713</f>
        <v>3.8057894736842073</v>
      </c>
    </row>
    <row r="714" spans="1:19" ht="14.45" customHeight="1" x14ac:dyDescent="0.25">
      <c r="A714" s="105">
        <f>+IF(B714="","",SUBTOTAL(3,B$8:B714))</f>
        <v>707</v>
      </c>
      <c r="B714" s="106" t="str">
        <f>'Detailed Report'!O710</f>
        <v>Fuddruckers - New Maadi</v>
      </c>
      <c r="C714" s="107">
        <f>TRUNC('Detailed Report'!Q710,0)</f>
        <v>46046</v>
      </c>
      <c r="D714" s="108">
        <f>'Detailed Report'!P710</f>
        <v>3417300858</v>
      </c>
      <c r="E714" s="106" t="str">
        <f>'Detailed Report'!S710</f>
        <v>Successful</v>
      </c>
      <c r="F714" s="109">
        <f>IF(E714=$E$6,('Detailed Report'!Y710),IF(E714=$E$5,(0),0))</f>
        <v>329</v>
      </c>
      <c r="G714" s="106">
        <f>IF(E714=$E$6,('Detailed Report'!AQ710),IF(E714=$E$5,('Detailed Report'!AW710),0))</f>
        <v>288.59649000000002</v>
      </c>
      <c r="H714" s="106">
        <f>'Detailed Report'!AS710</f>
        <v>72.149119999999996</v>
      </c>
      <c r="I714" s="106">
        <f>'Detailed Report'!AT710</f>
        <v>10.1008768</v>
      </c>
      <c r="J714" s="106">
        <f>'Detailed Report'!AO710</f>
        <v>0</v>
      </c>
      <c r="K714" s="106">
        <f>'Detailed Report'!AP710</f>
        <v>0</v>
      </c>
      <c r="L714" s="106">
        <f>'Detailed Report'!AU710/1.14</f>
        <v>25.42982456140351</v>
      </c>
      <c r="M714" s="106">
        <f>'Detailed Report'!AU710-L714</f>
        <v>3.5601754385964881</v>
      </c>
      <c r="N714" s="110">
        <f>'Detailed Report'!AW710</f>
        <v>217.76</v>
      </c>
      <c r="O714" s="111">
        <f t="shared" si="57"/>
        <v>70.836490000000026</v>
      </c>
      <c r="P714" s="110">
        <f>'Detailed Report'!AM710</f>
        <v>0</v>
      </c>
      <c r="Q714" s="110">
        <f>'Detailed Report'!AN710</f>
        <v>0</v>
      </c>
      <c r="R714" s="110">
        <f>'Detailed Report'!AU710/1.14</f>
        <v>25.42982456140351</v>
      </c>
      <c r="S714" s="110">
        <f>'Detailed Report'!AU710-'........... - Otlob'!R714</f>
        <v>3.5601754385964881</v>
      </c>
    </row>
    <row r="715" spans="1:19" ht="14.45" customHeight="1" x14ac:dyDescent="0.25">
      <c r="A715" s="105">
        <f>+IF(B715="","",SUBTOTAL(3,B$8:B715))</f>
        <v>708</v>
      </c>
      <c r="B715" s="106" t="str">
        <f>'Detailed Report'!O711</f>
        <v>Fuddruckers - Concord Plaza Mall</v>
      </c>
      <c r="C715" s="107">
        <f>TRUNC('Detailed Report'!Q711,0)</f>
        <v>46046</v>
      </c>
      <c r="D715" s="108">
        <f>'Detailed Report'!P711</f>
        <v>3417356819</v>
      </c>
      <c r="E715" s="106" t="str">
        <f>'Detailed Report'!S711</f>
        <v>Successful</v>
      </c>
      <c r="F715" s="109">
        <f>IF(E715=$E$6,('Detailed Report'!Y711),IF(E715=$E$5,(0),0))</f>
        <v>1808.95</v>
      </c>
      <c r="G715" s="106">
        <f>IF(E715=$E$6,('Detailed Report'!AQ711),IF(E715=$E$5,('Detailed Report'!AW711),0))</f>
        <v>1586.7982500000001</v>
      </c>
      <c r="H715" s="106">
        <f>'Detailed Report'!AS711</f>
        <v>396.69956000000002</v>
      </c>
      <c r="I715" s="106">
        <f>'Detailed Report'!AT711</f>
        <v>55.537938400000002</v>
      </c>
      <c r="J715" s="106">
        <f>'Detailed Report'!AO711</f>
        <v>31.656626750000001</v>
      </c>
      <c r="K715" s="106">
        <f>'Detailed Report'!AP711</f>
        <v>4.4319277450000003</v>
      </c>
      <c r="L715" s="106">
        <f>'Detailed Report'!AU711/1.14</f>
        <v>0</v>
      </c>
      <c r="M715" s="106">
        <f>'Detailed Report'!AU711-L715</f>
        <v>0</v>
      </c>
      <c r="N715" s="110">
        <f>'Detailed Report'!AW711</f>
        <v>1320.624</v>
      </c>
      <c r="O715" s="111">
        <f t="shared" si="57"/>
        <v>266.17425000000003</v>
      </c>
      <c r="P715" s="110">
        <f>'Detailed Report'!AM711</f>
        <v>0</v>
      </c>
      <c r="Q715" s="110">
        <f>'Detailed Report'!AN711</f>
        <v>0</v>
      </c>
      <c r="R715" s="110">
        <f>'Detailed Report'!AU711/1.14</f>
        <v>0</v>
      </c>
      <c r="S715" s="110">
        <f>'Detailed Report'!AU711-'........... - Otlob'!R715</f>
        <v>0</v>
      </c>
    </row>
    <row r="716" spans="1:19" ht="14.45" customHeight="1" x14ac:dyDescent="0.25">
      <c r="A716" s="105">
        <f>+IF(B716="","",SUBTOTAL(3,B$8:B716))</f>
        <v>709</v>
      </c>
      <c r="B716" s="106" t="str">
        <f>'Detailed Report'!O712</f>
        <v>Fuddruckers - Concord Plaza Mall</v>
      </c>
      <c r="C716" s="107">
        <f>TRUNC('Detailed Report'!Q712,0)</f>
        <v>46046</v>
      </c>
      <c r="D716" s="108">
        <f>'Detailed Report'!P712</f>
        <v>3417387277</v>
      </c>
      <c r="E716" s="106" t="str">
        <f>'Detailed Report'!S712</f>
        <v>Successful</v>
      </c>
      <c r="F716" s="109">
        <f>IF(E716=$E$6,('Detailed Report'!Y712),IF(E716=$E$5,(0),0))</f>
        <v>444.99</v>
      </c>
      <c r="G716" s="106">
        <f>IF(E716=$E$6,('Detailed Report'!AQ712),IF(E716=$E$5,('Detailed Report'!AW712),0))</f>
        <v>390.34210999999999</v>
      </c>
      <c r="H716" s="106">
        <f>'Detailed Report'!AS712</f>
        <v>97.585530000000006</v>
      </c>
      <c r="I716" s="106">
        <f>'Detailed Report'!AT712</f>
        <v>13.6619742</v>
      </c>
      <c r="J716" s="106">
        <f>'Detailed Report'!AO712</f>
        <v>7.7873250000000001</v>
      </c>
      <c r="K716" s="106">
        <f>'Detailed Report'!AP712</f>
        <v>1.0902255000000001</v>
      </c>
      <c r="L716" s="106">
        <f>'Detailed Report'!AU712/1.14</f>
        <v>27.184210526315791</v>
      </c>
      <c r="M716" s="106">
        <f>'Detailed Report'!AU712-L716</f>
        <v>3.8057894736842073</v>
      </c>
      <c r="N716" s="110">
        <f>'Detailed Report'!AW712</f>
        <v>293.875</v>
      </c>
      <c r="O716" s="111">
        <f t="shared" si="57"/>
        <v>96.467109999999991</v>
      </c>
      <c r="P716" s="110">
        <f>'Detailed Report'!AM712</f>
        <v>0</v>
      </c>
      <c r="Q716" s="110">
        <f>'Detailed Report'!AN712</f>
        <v>0</v>
      </c>
      <c r="R716" s="110">
        <f>'Detailed Report'!AU712/1.14</f>
        <v>27.184210526315791</v>
      </c>
      <c r="S716" s="110">
        <f>'Detailed Report'!AU712-'........... - Otlob'!R716</f>
        <v>3.8057894736842073</v>
      </c>
    </row>
    <row r="717" spans="1:19" ht="14.45" customHeight="1" x14ac:dyDescent="0.25">
      <c r="A717" s="105">
        <f>+IF(B717="","",SUBTOTAL(3,B$8:B717))</f>
        <v>710</v>
      </c>
      <c r="B717" s="106" t="str">
        <f>'Detailed Report'!O713</f>
        <v>Fuddruckers - New Maadi</v>
      </c>
      <c r="C717" s="107">
        <f>TRUNC('Detailed Report'!Q713,0)</f>
        <v>46046</v>
      </c>
      <c r="D717" s="108">
        <f>'Detailed Report'!P713</f>
        <v>3417406159</v>
      </c>
      <c r="E717" s="106" t="str">
        <f>'Detailed Report'!S713</f>
        <v>Successful</v>
      </c>
      <c r="F717" s="109">
        <f>IF(E717=$E$6,('Detailed Report'!Y713),IF(E717=$E$5,(0),0))</f>
        <v>409.98</v>
      </c>
      <c r="G717" s="106">
        <f>IF(E717=$E$6,('Detailed Report'!AQ713),IF(E717=$E$5,('Detailed Report'!AW713),0))</f>
        <v>359.63157999999999</v>
      </c>
      <c r="H717" s="106">
        <f>'Detailed Report'!AS713</f>
        <v>89.907899999999998</v>
      </c>
      <c r="I717" s="106">
        <f>'Detailed Report'!AT713</f>
        <v>12.587106</v>
      </c>
      <c r="J717" s="106">
        <f>'Detailed Report'!AO713</f>
        <v>7.1746499999999997</v>
      </c>
      <c r="K717" s="106">
        <f>'Detailed Report'!AP713</f>
        <v>1.004451</v>
      </c>
      <c r="L717" s="106">
        <f>'Detailed Report'!AU713/1.14</f>
        <v>25.42982456140351</v>
      </c>
      <c r="M717" s="106">
        <f>'Detailed Report'!AU713-L717</f>
        <v>3.5601754385964881</v>
      </c>
      <c r="N717" s="110">
        <f>'Detailed Report'!AW713</f>
        <v>270.31599999999997</v>
      </c>
      <c r="O717" s="111">
        <f t="shared" si="57"/>
        <v>89.315580000000011</v>
      </c>
      <c r="P717" s="110">
        <f>'Detailed Report'!AM713</f>
        <v>0</v>
      </c>
      <c r="Q717" s="110">
        <f>'Detailed Report'!AN713</f>
        <v>0</v>
      </c>
      <c r="R717" s="110">
        <f>'Detailed Report'!AU713/1.14</f>
        <v>25.42982456140351</v>
      </c>
      <c r="S717" s="110">
        <f>'Detailed Report'!AU713-'........... - Otlob'!R717</f>
        <v>3.5601754385964881</v>
      </c>
    </row>
    <row r="718" spans="1:19" ht="14.45" customHeight="1" x14ac:dyDescent="0.25">
      <c r="A718" s="105">
        <f>+IF(B718="","",SUBTOTAL(3,B$8:B718))</f>
        <v>711</v>
      </c>
      <c r="B718" s="106" t="str">
        <f>'Detailed Report'!O714</f>
        <v>Fuddruckers - New Maadi</v>
      </c>
      <c r="C718" s="107">
        <f>TRUNC('Detailed Report'!Q714,0)</f>
        <v>46046</v>
      </c>
      <c r="D718" s="108">
        <f>'Detailed Report'!P714</f>
        <v>3417461596</v>
      </c>
      <c r="E718" s="106" t="str">
        <f>'Detailed Report'!S714</f>
        <v>Successful</v>
      </c>
      <c r="F718" s="109">
        <f>IF(E718=$E$6,('Detailed Report'!Y714),IF(E718=$E$5,(0),0))</f>
        <v>646.98</v>
      </c>
      <c r="G718" s="106">
        <f>IF(E718=$E$6,('Detailed Report'!AQ714),IF(E718=$E$5,('Detailed Report'!AW714),0))</f>
        <v>567.52632000000006</v>
      </c>
      <c r="H718" s="106">
        <f>'Detailed Report'!AS714</f>
        <v>141.88158000000001</v>
      </c>
      <c r="I718" s="106">
        <f>'Detailed Report'!AT714</f>
        <v>19.863421200000001</v>
      </c>
      <c r="J718" s="106">
        <f>'Detailed Report'!AO714</f>
        <v>11.322150000000001</v>
      </c>
      <c r="K718" s="106">
        <f>'Detailed Report'!AP714</f>
        <v>1.5851010000000001</v>
      </c>
      <c r="L718" s="106">
        <f>'Detailed Report'!AU714/1.14</f>
        <v>26.307017543859651</v>
      </c>
      <c r="M718" s="106">
        <f>'Detailed Report'!AU714-L718</f>
        <v>3.6829824561403477</v>
      </c>
      <c r="N718" s="110">
        <f>'Detailed Report'!AW714</f>
        <v>442.33800000000002</v>
      </c>
      <c r="O718" s="111">
        <f t="shared" si="57"/>
        <v>125.18832000000003</v>
      </c>
      <c r="P718" s="110">
        <f>'Detailed Report'!AM714</f>
        <v>0</v>
      </c>
      <c r="Q718" s="110">
        <f>'Detailed Report'!AN714</f>
        <v>0</v>
      </c>
      <c r="R718" s="110">
        <f>'Detailed Report'!AU714/1.14</f>
        <v>26.307017543859651</v>
      </c>
      <c r="S718" s="110">
        <f>'Detailed Report'!AU714-'........... - Otlob'!R718</f>
        <v>3.6829824561403477</v>
      </c>
    </row>
    <row r="719" spans="1:19" ht="14.45" customHeight="1" x14ac:dyDescent="0.25">
      <c r="A719" s="105">
        <f>+IF(B719="","",SUBTOTAL(3,B$8:B719))</f>
        <v>712</v>
      </c>
      <c r="B719" s="106" t="str">
        <f>'Detailed Report'!O715</f>
        <v>Fuddruckers - New Maadi</v>
      </c>
      <c r="C719" s="107">
        <f>TRUNC('Detailed Report'!Q715,0)</f>
        <v>46046</v>
      </c>
      <c r="D719" s="108">
        <f>'Detailed Report'!P715</f>
        <v>3417464680</v>
      </c>
      <c r="E719" s="106" t="str">
        <f>'Detailed Report'!S715</f>
        <v>Successful</v>
      </c>
      <c r="F719" s="109">
        <f>IF(E719=$E$6,('Detailed Report'!Y715),IF(E719=$E$5,(0),0))</f>
        <v>591.98</v>
      </c>
      <c r="G719" s="106">
        <f>IF(E719=$E$6,('Detailed Report'!AQ715),IF(E719=$E$5,('Detailed Report'!AW715),0))</f>
        <v>519.28070000000002</v>
      </c>
      <c r="H719" s="106">
        <f>'Detailed Report'!AS715</f>
        <v>129.82017999999999</v>
      </c>
      <c r="I719" s="106">
        <f>'Detailed Report'!AT715</f>
        <v>18.174825200000001</v>
      </c>
      <c r="J719" s="106">
        <f>'Detailed Report'!AO715</f>
        <v>10.35965</v>
      </c>
      <c r="K719" s="106">
        <f>'Detailed Report'!AP715</f>
        <v>1.4503509999999999</v>
      </c>
      <c r="L719" s="106">
        <f>'Detailed Report'!AU715/1.14</f>
        <v>26.307017543859651</v>
      </c>
      <c r="M719" s="106">
        <f>'Detailed Report'!AU715-L719</f>
        <v>3.6829824561403477</v>
      </c>
      <c r="N719" s="110">
        <f>'Detailed Report'!AW715</f>
        <v>402.185</v>
      </c>
      <c r="O719" s="111">
        <f t="shared" si="57"/>
        <v>117.09570000000002</v>
      </c>
      <c r="P719" s="110">
        <f>'Detailed Report'!AM715</f>
        <v>0</v>
      </c>
      <c r="Q719" s="110">
        <f>'Detailed Report'!AN715</f>
        <v>0</v>
      </c>
      <c r="R719" s="110">
        <f>'Detailed Report'!AU715/1.14</f>
        <v>26.307017543859651</v>
      </c>
      <c r="S719" s="110">
        <f>'Detailed Report'!AU715-'........... - Otlob'!R719</f>
        <v>3.6829824561403477</v>
      </c>
    </row>
    <row r="720" spans="1:19" ht="14.45" customHeight="1" x14ac:dyDescent="0.25">
      <c r="A720" s="105">
        <f>+IF(B720="","",SUBTOTAL(3,B$8:B720))</f>
        <v>713</v>
      </c>
      <c r="B720" s="106" t="str">
        <f>'Detailed Report'!O716</f>
        <v>Fuddruckers - New Maadi</v>
      </c>
      <c r="C720" s="107">
        <f>TRUNC('Detailed Report'!Q716,0)</f>
        <v>46046</v>
      </c>
      <c r="D720" s="108">
        <f>'Detailed Report'!P716</f>
        <v>3417504236</v>
      </c>
      <c r="E720" s="106" t="str">
        <f>'Detailed Report'!S716</f>
        <v>Successful</v>
      </c>
      <c r="F720" s="109">
        <f>IF(E720=$E$6,('Detailed Report'!Y716),IF(E720=$E$5,(0),0))</f>
        <v>362.99</v>
      </c>
      <c r="G720" s="106">
        <f>IF(E720=$E$6,('Detailed Report'!AQ716),IF(E720=$E$5,('Detailed Report'!AW716),0))</f>
        <v>318.41228000000001</v>
      </c>
      <c r="H720" s="106">
        <f>'Detailed Report'!AS716</f>
        <v>79.603070000000002</v>
      </c>
      <c r="I720" s="106">
        <f>'Detailed Report'!AT716</f>
        <v>11.144429799999999</v>
      </c>
      <c r="J720" s="106">
        <f>'Detailed Report'!AO716</f>
        <v>6.3523250000000004</v>
      </c>
      <c r="K720" s="106">
        <f>'Detailed Report'!AP716</f>
        <v>0.88932549999999999</v>
      </c>
      <c r="L720" s="106">
        <f>'Detailed Report'!AU716/1.14</f>
        <v>0</v>
      </c>
      <c r="M720" s="106">
        <f>'Detailed Report'!AU716-L720</f>
        <v>0</v>
      </c>
      <c r="N720" s="110">
        <f>'Detailed Report'!AW716</f>
        <v>265.00099999999998</v>
      </c>
      <c r="O720" s="111">
        <f t="shared" si="57"/>
        <v>53.411280000000033</v>
      </c>
      <c r="P720" s="110">
        <f>'Detailed Report'!AM716</f>
        <v>0</v>
      </c>
      <c r="Q720" s="110">
        <f>'Detailed Report'!AN716</f>
        <v>0</v>
      </c>
      <c r="R720" s="110">
        <f>'Detailed Report'!AU716/1.14</f>
        <v>0</v>
      </c>
      <c r="S720" s="110">
        <f>'Detailed Report'!AU716-'........... - Otlob'!R720</f>
        <v>0</v>
      </c>
    </row>
    <row r="721" spans="1:19" ht="14.45" customHeight="1" x14ac:dyDescent="0.25">
      <c r="A721" s="105">
        <f>+IF(B721="","",SUBTOTAL(3,B$8:B721))</f>
        <v>714</v>
      </c>
      <c r="B721" s="106" t="str">
        <f>'Detailed Report'!O717</f>
        <v>Fuddruckers - Concord Plaza Mall</v>
      </c>
      <c r="C721" s="107">
        <f>TRUNC('Detailed Report'!Q717,0)</f>
        <v>46046</v>
      </c>
      <c r="D721" s="108">
        <f>'Detailed Report'!P717</f>
        <v>3417550791</v>
      </c>
      <c r="E721" s="106" t="str">
        <f>'Detailed Report'!S717</f>
        <v>Successful</v>
      </c>
      <c r="F721" s="109">
        <f>IF(E721=$E$6,('Detailed Report'!Y717),IF(E721=$E$5,(0),0))</f>
        <v>642.98</v>
      </c>
      <c r="G721" s="106">
        <f>IF(E721=$E$6,('Detailed Report'!AQ717),IF(E721=$E$5,('Detailed Report'!AW717),0))</f>
        <v>564.01754000000005</v>
      </c>
      <c r="H721" s="106">
        <f>'Detailed Report'!AS717</f>
        <v>141.00439</v>
      </c>
      <c r="I721" s="106">
        <f>'Detailed Report'!AT717</f>
        <v>19.740614600000001</v>
      </c>
      <c r="J721" s="106">
        <f>'Detailed Report'!AO717</f>
        <v>11.25215</v>
      </c>
      <c r="K721" s="106">
        <f>'Detailed Report'!AP717</f>
        <v>1.5753010000000001</v>
      </c>
      <c r="L721" s="106">
        <f>'Detailed Report'!AU717/1.14</f>
        <v>0</v>
      </c>
      <c r="M721" s="106">
        <f>'Detailed Report'!AU717-L721</f>
        <v>0</v>
      </c>
      <c r="N721" s="110">
        <f>'Detailed Report'!AW717</f>
        <v>469.40800000000002</v>
      </c>
      <c r="O721" s="111">
        <f t="shared" si="57"/>
        <v>94.609540000000038</v>
      </c>
      <c r="P721" s="110">
        <f>'Detailed Report'!AM717</f>
        <v>0</v>
      </c>
      <c r="Q721" s="110">
        <f>'Detailed Report'!AN717</f>
        <v>0</v>
      </c>
      <c r="R721" s="110">
        <f>'Detailed Report'!AU717/1.14</f>
        <v>0</v>
      </c>
      <c r="S721" s="110">
        <f>'Detailed Report'!AU717-'........... - Otlob'!R721</f>
        <v>0</v>
      </c>
    </row>
    <row r="722" spans="1:19" ht="14.45" customHeight="1" x14ac:dyDescent="0.25">
      <c r="A722" s="105">
        <f>+IF(B722="","",SUBTOTAL(3,B$8:B722))</f>
        <v>715</v>
      </c>
      <c r="B722" s="106" t="str">
        <f>'Detailed Report'!O718</f>
        <v>Fuddruckers - Concord Plaza Mall</v>
      </c>
      <c r="C722" s="107">
        <f>TRUNC('Detailed Report'!Q718,0)</f>
        <v>46046</v>
      </c>
      <c r="D722" s="108">
        <f>'Detailed Report'!P718</f>
        <v>3417576918</v>
      </c>
      <c r="E722" s="106" t="str">
        <f>'Detailed Report'!S718</f>
        <v>Successful</v>
      </c>
      <c r="F722" s="109">
        <f>IF(E722=$E$6,('Detailed Report'!Y718),IF(E722=$E$5,(0),0))</f>
        <v>591.49</v>
      </c>
      <c r="G722" s="106">
        <f>IF(E722=$E$6,('Detailed Report'!AQ718),IF(E722=$E$5,('Detailed Report'!AW718),0))</f>
        <v>518.85087999999996</v>
      </c>
      <c r="H722" s="106">
        <f>'Detailed Report'!AS718</f>
        <v>129.71271999999999</v>
      </c>
      <c r="I722" s="106">
        <f>'Detailed Report'!AT718</f>
        <v>18.1597808</v>
      </c>
      <c r="J722" s="106">
        <f>'Detailed Report'!AO718</f>
        <v>10.351075</v>
      </c>
      <c r="K722" s="106">
        <f>'Detailed Report'!AP718</f>
        <v>1.4491505</v>
      </c>
      <c r="L722" s="106">
        <f>'Detailed Report'!AU718/1.14</f>
        <v>30.692982456140356</v>
      </c>
      <c r="M722" s="106">
        <f>'Detailed Report'!AU718-L722</f>
        <v>4.2970175438596456</v>
      </c>
      <c r="N722" s="110">
        <f>'Detailed Report'!AW718</f>
        <v>396.827</v>
      </c>
      <c r="O722" s="111">
        <f t="shared" si="57"/>
        <v>122.02387999999996</v>
      </c>
      <c r="P722" s="110">
        <f>'Detailed Report'!AM718</f>
        <v>0</v>
      </c>
      <c r="Q722" s="110">
        <f>'Detailed Report'!AN718</f>
        <v>0</v>
      </c>
      <c r="R722" s="110">
        <f>'Detailed Report'!AU718/1.14</f>
        <v>30.692982456140356</v>
      </c>
      <c r="S722" s="110">
        <f>'Detailed Report'!AU718-'........... - Otlob'!R722</f>
        <v>4.2970175438596456</v>
      </c>
    </row>
    <row r="723" spans="1:19" ht="14.45" customHeight="1" x14ac:dyDescent="0.25">
      <c r="A723" s="105">
        <f>+IF(B723="","",SUBTOTAL(3,B$8:B723))</f>
        <v>716</v>
      </c>
      <c r="B723" s="106" t="str">
        <f>'Detailed Report'!O719</f>
        <v>Fuddruckers - City Stars</v>
      </c>
      <c r="C723" s="107">
        <f>TRUNC('Detailed Report'!Q719,0)</f>
        <v>46046</v>
      </c>
      <c r="D723" s="108">
        <f>'Detailed Report'!P719</f>
        <v>3417644445</v>
      </c>
      <c r="E723" s="106" t="str">
        <f>'Detailed Report'!S719</f>
        <v>Successful</v>
      </c>
      <c r="F723" s="109">
        <f>IF(E723=$E$6,('Detailed Report'!Y719),IF(E723=$E$5,(0),0))</f>
        <v>745.98</v>
      </c>
      <c r="G723" s="106">
        <f>IF(E723=$E$6,('Detailed Report'!AQ719),IF(E723=$E$5,('Detailed Report'!AW719),0))</f>
        <v>654.36842000000001</v>
      </c>
      <c r="H723" s="106">
        <f>'Detailed Report'!AS719</f>
        <v>163.59210999999999</v>
      </c>
      <c r="I723" s="106">
        <f>'Detailed Report'!AT719</f>
        <v>22.902895399999998</v>
      </c>
      <c r="J723" s="106">
        <f>'Detailed Report'!AO719</f>
        <v>0</v>
      </c>
      <c r="K723" s="106">
        <f>'Detailed Report'!AP719</f>
        <v>0</v>
      </c>
      <c r="L723" s="106">
        <f>'Detailed Report'!AU719/1.14</f>
        <v>0</v>
      </c>
      <c r="M723" s="106">
        <f>'Detailed Report'!AU719-L723</f>
        <v>0</v>
      </c>
      <c r="N723" s="110">
        <f>'Detailed Report'!AW719</f>
        <v>525.28499999999997</v>
      </c>
      <c r="O723" s="111">
        <f t="shared" si="57"/>
        <v>129.08342000000005</v>
      </c>
      <c r="P723" s="110">
        <f>'Detailed Report'!AM719</f>
        <v>30</v>
      </c>
      <c r="Q723" s="110">
        <f>'Detailed Report'!AN719</f>
        <v>4.2</v>
      </c>
      <c r="R723" s="110">
        <f>'Detailed Report'!AU719/1.14</f>
        <v>0</v>
      </c>
      <c r="S723" s="110">
        <f>'Detailed Report'!AU719-'........... - Otlob'!R723</f>
        <v>0</v>
      </c>
    </row>
    <row r="724" spans="1:19" ht="14.45" customHeight="1" x14ac:dyDescent="0.25">
      <c r="A724" s="105">
        <f>+IF(B724="","",SUBTOTAL(3,B$8:B724))</f>
        <v>717</v>
      </c>
      <c r="B724" s="106" t="str">
        <f>'Detailed Report'!O720</f>
        <v>Fuddruckers - Concord Plaza Mall</v>
      </c>
      <c r="C724" s="107">
        <f>TRUNC('Detailed Report'!Q720,0)</f>
        <v>46046</v>
      </c>
      <c r="D724" s="108">
        <f>'Detailed Report'!P720</f>
        <v>3417648876</v>
      </c>
      <c r="E724" s="106" t="str">
        <f>'Detailed Report'!S720</f>
        <v>Successful</v>
      </c>
      <c r="F724" s="109">
        <f>IF(E724=$E$6,('Detailed Report'!Y720),IF(E724=$E$5,(0),0))</f>
        <v>363.99</v>
      </c>
      <c r="G724" s="106">
        <f>IF(E724=$E$6,('Detailed Report'!AQ720),IF(E724=$E$5,('Detailed Report'!AW720),0))</f>
        <v>319.28946999999999</v>
      </c>
      <c r="H724" s="106">
        <f>'Detailed Report'!AS720</f>
        <v>79.822370000000006</v>
      </c>
      <c r="I724" s="106">
        <f>'Detailed Report'!AT720</f>
        <v>11.175131800000001</v>
      </c>
      <c r="J724" s="106">
        <f>'Detailed Report'!AO720</f>
        <v>6.3698249999999996</v>
      </c>
      <c r="K724" s="106">
        <f>'Detailed Report'!AP720</f>
        <v>0.89177550000000005</v>
      </c>
      <c r="L724" s="106">
        <f>'Detailed Report'!AU720/1.14</f>
        <v>28.061403508771932</v>
      </c>
      <c r="M724" s="106">
        <f>'Detailed Report'!AU720-L724</f>
        <v>3.9285964912280669</v>
      </c>
      <c r="N724" s="110">
        <f>'Detailed Report'!AW720</f>
        <v>233.74100000000001</v>
      </c>
      <c r="O724" s="111">
        <f t="shared" si="57"/>
        <v>85.54846999999998</v>
      </c>
      <c r="P724" s="110">
        <f>'Detailed Report'!AM720</f>
        <v>0</v>
      </c>
      <c r="Q724" s="110">
        <f>'Detailed Report'!AN720</f>
        <v>0</v>
      </c>
      <c r="R724" s="110">
        <f>'Detailed Report'!AU720/1.14</f>
        <v>28.061403508771932</v>
      </c>
      <c r="S724" s="110">
        <f>'Detailed Report'!AU720-'........... - Otlob'!R724</f>
        <v>3.9285964912280669</v>
      </c>
    </row>
    <row r="725" spans="1:19" ht="14.45" customHeight="1" x14ac:dyDescent="0.25">
      <c r="A725" s="105">
        <f>+IF(B725="","",SUBTOTAL(3,B$8:B725))</f>
        <v>718</v>
      </c>
      <c r="B725" s="106" t="str">
        <f>'Detailed Report'!O721</f>
        <v>Fuddruckers - Concord Plaza Mall</v>
      </c>
      <c r="C725" s="107">
        <f>TRUNC('Detailed Report'!Q721,0)</f>
        <v>46046</v>
      </c>
      <c r="D725" s="108">
        <f>'Detailed Report'!P721</f>
        <v>3417685484</v>
      </c>
      <c r="E725" s="106" t="str">
        <f>'Detailed Report'!S721</f>
        <v>Successful</v>
      </c>
      <c r="F725" s="109">
        <f>IF(E725=$E$6,('Detailed Report'!Y721),IF(E725=$E$5,(0),0))</f>
        <v>859.97</v>
      </c>
      <c r="G725" s="106">
        <f>IF(E725=$E$6,('Detailed Report'!AQ721),IF(E725=$E$5,('Detailed Report'!AW721),0))</f>
        <v>754.35964999999999</v>
      </c>
      <c r="H725" s="106">
        <f>'Detailed Report'!AS721</f>
        <v>188.58991</v>
      </c>
      <c r="I725" s="106">
        <f>'Detailed Report'!AT721</f>
        <v>26.402587400000002</v>
      </c>
      <c r="J725" s="106">
        <f>'Detailed Report'!AO721</f>
        <v>0</v>
      </c>
      <c r="K725" s="106">
        <f>'Detailed Report'!AP721</f>
        <v>0</v>
      </c>
      <c r="L725" s="106">
        <f>'Detailed Report'!AU721/1.14</f>
        <v>0</v>
      </c>
      <c r="M725" s="106">
        <f>'Detailed Report'!AU721-L725</f>
        <v>0</v>
      </c>
      <c r="N725" s="110">
        <f>'Detailed Report'!AW721</f>
        <v>644.97799999999995</v>
      </c>
      <c r="O725" s="111">
        <f t="shared" si="57"/>
        <v>109.38165000000004</v>
      </c>
      <c r="P725" s="110">
        <f>'Detailed Report'!AM721</f>
        <v>0</v>
      </c>
      <c r="Q725" s="110">
        <f>'Detailed Report'!AN721</f>
        <v>0</v>
      </c>
      <c r="R725" s="110">
        <f>'Detailed Report'!AU721/1.14</f>
        <v>0</v>
      </c>
      <c r="S725" s="110">
        <f>'Detailed Report'!AU721-'........... - Otlob'!R725</f>
        <v>0</v>
      </c>
    </row>
    <row r="726" spans="1:19" ht="14.45" customHeight="1" x14ac:dyDescent="0.25">
      <c r="A726" s="105">
        <f>+IF(B726="","",SUBTOTAL(3,B$8:B726))</f>
        <v>719</v>
      </c>
      <c r="B726" s="106" t="str">
        <f>'Detailed Report'!O722</f>
        <v>Fuddruckers - New Maadi</v>
      </c>
      <c r="C726" s="107">
        <f>TRUNC('Detailed Report'!Q722,0)</f>
        <v>46046</v>
      </c>
      <c r="D726" s="108">
        <f>'Detailed Report'!P722</f>
        <v>3417719010</v>
      </c>
      <c r="E726" s="106" t="str">
        <f>'Detailed Report'!S722</f>
        <v>Successful</v>
      </c>
      <c r="F726" s="109">
        <f>IF(E726=$E$6,('Detailed Report'!Y722),IF(E726=$E$5,(0),0))</f>
        <v>836.27</v>
      </c>
      <c r="G726" s="106">
        <f>IF(E726=$E$6,('Detailed Report'!AQ722),IF(E726=$E$5,('Detailed Report'!AW722),0))</f>
        <v>733.57018000000005</v>
      </c>
      <c r="H726" s="106">
        <f>'Detailed Report'!AS722</f>
        <v>183.39255</v>
      </c>
      <c r="I726" s="106">
        <f>'Detailed Report'!AT722</f>
        <v>25.674956999999999</v>
      </c>
      <c r="J726" s="106">
        <f>'Detailed Report'!AO722</f>
        <v>14.634725</v>
      </c>
      <c r="K726" s="106">
        <f>'Detailed Report'!AP722</f>
        <v>2.0488615000000001</v>
      </c>
      <c r="L726" s="106">
        <f>'Detailed Report'!AU722/1.14</f>
        <v>0</v>
      </c>
      <c r="M726" s="106">
        <f>'Detailed Report'!AU722-L726</f>
        <v>0</v>
      </c>
      <c r="N726" s="110">
        <f>'Detailed Report'!AW722</f>
        <v>610.51900000000001</v>
      </c>
      <c r="O726" s="111">
        <f t="shared" si="57"/>
        <v>123.05118000000004</v>
      </c>
      <c r="P726" s="110">
        <f>'Detailed Report'!AM722</f>
        <v>0</v>
      </c>
      <c r="Q726" s="110">
        <f>'Detailed Report'!AN722</f>
        <v>0</v>
      </c>
      <c r="R726" s="110">
        <f>'Detailed Report'!AU722/1.14</f>
        <v>0</v>
      </c>
      <c r="S726" s="110">
        <f>'Detailed Report'!AU722-'........... - Otlob'!R726</f>
        <v>0</v>
      </c>
    </row>
    <row r="727" spans="1:19" ht="14.45" customHeight="1" x14ac:dyDescent="0.25">
      <c r="A727" s="105">
        <f>+IF(B727="","",SUBTOTAL(3,B$8:B727))</f>
        <v>720</v>
      </c>
      <c r="B727" s="106" t="str">
        <f>'Detailed Report'!O723</f>
        <v>Fuddruckers - Concord Plaza Mall</v>
      </c>
      <c r="C727" s="107">
        <f>TRUNC('Detailed Report'!Q723,0)</f>
        <v>46046</v>
      </c>
      <c r="D727" s="108">
        <f>'Detailed Report'!P723</f>
        <v>3417722978</v>
      </c>
      <c r="E727" s="106" t="str">
        <f>'Detailed Report'!S723</f>
        <v>Successful</v>
      </c>
      <c r="F727" s="109">
        <f>IF(E727=$E$6,('Detailed Report'!Y723),IF(E727=$E$5,(0),0))</f>
        <v>1110.96</v>
      </c>
      <c r="G727" s="106">
        <f>IF(E727=$E$6,('Detailed Report'!AQ723),IF(E727=$E$5,('Detailed Report'!AW723),0))</f>
        <v>974.52632000000006</v>
      </c>
      <c r="H727" s="106">
        <f>'Detailed Report'!AS723</f>
        <v>243.63158000000001</v>
      </c>
      <c r="I727" s="106">
        <f>'Detailed Report'!AT723</f>
        <v>34.108421200000002</v>
      </c>
      <c r="J727" s="106">
        <f>'Detailed Report'!AO723</f>
        <v>19.441798250000002</v>
      </c>
      <c r="K727" s="106">
        <f>'Detailed Report'!AP723</f>
        <v>2.7218517549999999</v>
      </c>
      <c r="L727" s="106">
        <f>'Detailed Report'!AU723/1.14</f>
        <v>0</v>
      </c>
      <c r="M727" s="106">
        <f>'Detailed Report'!AU723-L727</f>
        <v>0</v>
      </c>
      <c r="N727" s="110">
        <f>'Detailed Report'!AW723</f>
        <v>811.05600000000004</v>
      </c>
      <c r="O727" s="111">
        <f t="shared" si="57"/>
        <v>163.47032000000002</v>
      </c>
      <c r="P727" s="110">
        <f>'Detailed Report'!AM723</f>
        <v>0</v>
      </c>
      <c r="Q727" s="110">
        <f>'Detailed Report'!AN723</f>
        <v>0</v>
      </c>
      <c r="R727" s="110">
        <f>'Detailed Report'!AU723/1.14</f>
        <v>0</v>
      </c>
      <c r="S727" s="110">
        <f>'Detailed Report'!AU723-'........... - Otlob'!R727</f>
        <v>0</v>
      </c>
    </row>
    <row r="728" spans="1:19" ht="14.45" customHeight="1" x14ac:dyDescent="0.25">
      <c r="A728" s="105">
        <f>+IF(B728="","",SUBTOTAL(3,B$8:B728))</f>
        <v>721</v>
      </c>
      <c r="B728" s="106" t="str">
        <f>'Detailed Report'!O724</f>
        <v>Fuddruckers - Concord Plaza Mall</v>
      </c>
      <c r="C728" s="107">
        <f>TRUNC('Detailed Report'!Q724,0)</f>
        <v>46046</v>
      </c>
      <c r="D728" s="108">
        <f>'Detailed Report'!P724</f>
        <v>3417754056</v>
      </c>
      <c r="E728" s="106" t="str">
        <f>'Detailed Report'!S724</f>
        <v>Successful</v>
      </c>
      <c r="F728" s="109">
        <f>IF(E728=$E$6,('Detailed Report'!Y724),IF(E728=$E$5,(0),0))</f>
        <v>321.25</v>
      </c>
      <c r="G728" s="106">
        <f>IF(E728=$E$6,('Detailed Report'!AQ724),IF(E728=$E$5,('Detailed Report'!AW724),0))</f>
        <v>650.21052999999995</v>
      </c>
      <c r="H728" s="106">
        <f>'Detailed Report'!AS724</f>
        <v>162.55262999999999</v>
      </c>
      <c r="I728" s="106">
        <f>'Detailed Report'!AT724</f>
        <v>22.757368199999998</v>
      </c>
      <c r="J728" s="106">
        <f>'Detailed Report'!AO724</f>
        <v>5.7793749999999999</v>
      </c>
      <c r="K728" s="106">
        <f>'Detailed Report'!AP724</f>
        <v>0.80911250000000001</v>
      </c>
      <c r="L728" s="106">
        <f>'Detailed Report'!AU724/1.14</f>
        <v>30.692982456140356</v>
      </c>
      <c r="M728" s="106">
        <f>'Detailed Report'!AU724-L728</f>
        <v>4.2970175438596456</v>
      </c>
      <c r="N728" s="110">
        <f>'Detailed Report'!AW724</f>
        <v>94.361999999999995</v>
      </c>
      <c r="O728" s="111">
        <f t="shared" si="57"/>
        <v>555.84852999999998</v>
      </c>
      <c r="P728" s="110">
        <f>'Detailed Report'!AM724</f>
        <v>0</v>
      </c>
      <c r="Q728" s="110">
        <f>'Detailed Report'!AN724</f>
        <v>0</v>
      </c>
      <c r="R728" s="110">
        <f>'Detailed Report'!AU724/1.14</f>
        <v>30.692982456140356</v>
      </c>
      <c r="S728" s="110">
        <f>'Detailed Report'!AU724-'........... - Otlob'!R728</f>
        <v>4.2970175438596456</v>
      </c>
    </row>
    <row r="729" spans="1:19" ht="14.45" customHeight="1" x14ac:dyDescent="0.25">
      <c r="A729" s="105">
        <f>+IF(B729="","",SUBTOTAL(3,B$8:B729))</f>
        <v>722</v>
      </c>
      <c r="B729" s="106" t="str">
        <f>'Detailed Report'!O725</f>
        <v>Fuddruckers - City Stars</v>
      </c>
      <c r="C729" s="107">
        <f>TRUNC('Detailed Report'!Q725,0)</f>
        <v>46046</v>
      </c>
      <c r="D729" s="108">
        <f>'Detailed Report'!P725</f>
        <v>3417770629</v>
      </c>
      <c r="E729" s="106" t="str">
        <f>'Detailed Report'!S725</f>
        <v>Successful</v>
      </c>
      <c r="F729" s="109">
        <f>IF(E729=$E$6,('Detailed Report'!Y725),IF(E729=$E$5,(0),0))</f>
        <v>179.99</v>
      </c>
      <c r="G729" s="106">
        <f>IF(E729=$E$6,('Detailed Report'!AQ725),IF(E729=$E$5,('Detailed Report'!AW725),0))</f>
        <v>157.88596000000001</v>
      </c>
      <c r="H729" s="106">
        <f>'Detailed Report'!AS725</f>
        <v>39.471490000000003</v>
      </c>
      <c r="I729" s="106">
        <f>'Detailed Report'!AT725</f>
        <v>5.5260085999999999</v>
      </c>
      <c r="J729" s="106">
        <f>'Detailed Report'!AO725</f>
        <v>3.1498249999999999</v>
      </c>
      <c r="K729" s="106">
        <f>'Detailed Report'!AP725</f>
        <v>0.44097550000000002</v>
      </c>
      <c r="L729" s="106">
        <f>'Detailed Report'!AU725/1.14</f>
        <v>25.42982456140351</v>
      </c>
      <c r="M729" s="106">
        <f>'Detailed Report'!AU725-L729</f>
        <v>3.5601754385964881</v>
      </c>
      <c r="N729" s="110">
        <f>'Detailed Report'!AW725</f>
        <v>102.41200000000001</v>
      </c>
      <c r="O729" s="111">
        <f t="shared" si="57"/>
        <v>55.473960000000005</v>
      </c>
      <c r="P729" s="110">
        <f>'Detailed Report'!AM725</f>
        <v>0</v>
      </c>
      <c r="Q729" s="110">
        <f>'Detailed Report'!AN725</f>
        <v>0</v>
      </c>
      <c r="R729" s="110">
        <f>'Detailed Report'!AU725/1.14</f>
        <v>25.42982456140351</v>
      </c>
      <c r="S729" s="110">
        <f>'Detailed Report'!AU725-'........... - Otlob'!R729</f>
        <v>3.5601754385964881</v>
      </c>
    </row>
    <row r="730" spans="1:19" ht="14.45" customHeight="1" x14ac:dyDescent="0.25">
      <c r="A730" s="105">
        <f>+IF(B730="","",SUBTOTAL(3,B$8:B730))</f>
        <v>723</v>
      </c>
      <c r="B730" s="106" t="str">
        <f>'Detailed Report'!O726</f>
        <v>Fuddruckers - Concord Plaza Mall</v>
      </c>
      <c r="C730" s="107">
        <f>TRUNC('Detailed Report'!Q726,0)</f>
        <v>46046</v>
      </c>
      <c r="D730" s="108">
        <f>'Detailed Report'!P726</f>
        <v>3417774653</v>
      </c>
      <c r="E730" s="106" t="str">
        <f>'Detailed Report'!S726</f>
        <v>Successful</v>
      </c>
      <c r="F730" s="109">
        <f>IF(E730=$E$6,('Detailed Report'!Y726),IF(E730=$E$5,(0),0))</f>
        <v>413.98</v>
      </c>
      <c r="G730" s="106">
        <f>IF(E730=$E$6,('Detailed Report'!AQ726),IF(E730=$E$5,('Detailed Report'!AW726),0))</f>
        <v>363.14035000000001</v>
      </c>
      <c r="H730" s="106">
        <f>'Detailed Report'!AS726</f>
        <v>90.785089999999997</v>
      </c>
      <c r="I730" s="106">
        <f>'Detailed Report'!AT726</f>
        <v>12.709912599999999</v>
      </c>
      <c r="J730" s="106">
        <f>'Detailed Report'!AO726</f>
        <v>7.24465</v>
      </c>
      <c r="K730" s="106">
        <f>'Detailed Report'!AP726</f>
        <v>1.014251</v>
      </c>
      <c r="L730" s="106">
        <f>'Detailed Report'!AU726/1.14</f>
        <v>30.692982456140356</v>
      </c>
      <c r="M730" s="106">
        <f>'Detailed Report'!AU726-L730</f>
        <v>4.2970175438596456</v>
      </c>
      <c r="N730" s="110">
        <f>'Detailed Report'!AW726</f>
        <v>267.23599999999999</v>
      </c>
      <c r="O730" s="111">
        <f t="shared" si="57"/>
        <v>95.904350000000022</v>
      </c>
      <c r="P730" s="110">
        <f>'Detailed Report'!AM726</f>
        <v>0</v>
      </c>
      <c r="Q730" s="110">
        <f>'Detailed Report'!AN726</f>
        <v>0</v>
      </c>
      <c r="R730" s="110">
        <f>'Detailed Report'!AU726/1.14</f>
        <v>30.692982456140356</v>
      </c>
      <c r="S730" s="110">
        <f>'Detailed Report'!AU726-'........... - Otlob'!R730</f>
        <v>4.2970175438596456</v>
      </c>
    </row>
    <row r="731" spans="1:19" ht="14.45" customHeight="1" x14ac:dyDescent="0.25">
      <c r="A731" s="105">
        <f>+IF(B731="","",SUBTOTAL(3,B$8:B731))</f>
        <v>724</v>
      </c>
      <c r="B731" s="106" t="str">
        <f>'Detailed Report'!O727</f>
        <v>Fuddruckers - Concord Plaza Mall</v>
      </c>
      <c r="C731" s="107">
        <f>TRUNC('Detailed Report'!Q727,0)</f>
        <v>46046</v>
      </c>
      <c r="D731" s="108">
        <f>'Detailed Report'!P727</f>
        <v>3417825674</v>
      </c>
      <c r="E731" s="106" t="str">
        <f>'Detailed Report'!S727</f>
        <v>Successful</v>
      </c>
      <c r="F731" s="109">
        <f>IF(E731=$E$6,('Detailed Report'!Y727),IF(E731=$E$5,(0),0))</f>
        <v>4666.55</v>
      </c>
      <c r="G731" s="106">
        <f>IF(E731=$E$6,('Detailed Report'!AQ727),IF(E731=$E$5,('Detailed Report'!AW727),0))</f>
        <v>4093.4649100000001</v>
      </c>
      <c r="H731" s="106">
        <f>'Detailed Report'!AS727</f>
        <v>1023.36623</v>
      </c>
      <c r="I731" s="106">
        <f>'Detailed Report'!AT727</f>
        <v>143.2712722</v>
      </c>
      <c r="J731" s="106">
        <f>'Detailed Report'!AO727</f>
        <v>0</v>
      </c>
      <c r="K731" s="106">
        <f>'Detailed Report'!AP727</f>
        <v>0</v>
      </c>
      <c r="L731" s="106">
        <f>'Detailed Report'!AU727/1.14</f>
        <v>0</v>
      </c>
      <c r="M731" s="106">
        <f>'Detailed Report'!AU727-L731</f>
        <v>0</v>
      </c>
      <c r="N731" s="110">
        <f>'Detailed Report'!AW727</f>
        <v>3465.712</v>
      </c>
      <c r="O731" s="111">
        <f t="shared" si="57"/>
        <v>627.75291000000016</v>
      </c>
      <c r="P731" s="110">
        <f>'Detailed Report'!AM727</f>
        <v>30</v>
      </c>
      <c r="Q731" s="110">
        <f>'Detailed Report'!AN727</f>
        <v>4.2</v>
      </c>
      <c r="R731" s="110">
        <f>'Detailed Report'!AU727/1.14</f>
        <v>0</v>
      </c>
      <c r="S731" s="110">
        <f>'Detailed Report'!AU727-'........... - Otlob'!R731</f>
        <v>0</v>
      </c>
    </row>
    <row r="732" spans="1:19" ht="14.45" customHeight="1" x14ac:dyDescent="0.25">
      <c r="A732" s="105">
        <f>+IF(B732="","",SUBTOTAL(3,B$8:B732))</f>
        <v>725</v>
      </c>
      <c r="B732" s="106" t="str">
        <f>'Detailed Report'!O728</f>
        <v>Fuddruckers - City Stars</v>
      </c>
      <c r="C732" s="107">
        <f>TRUNC('Detailed Report'!Q728,0)</f>
        <v>46046</v>
      </c>
      <c r="D732" s="108">
        <f>'Detailed Report'!P728</f>
        <v>3417893632</v>
      </c>
      <c r="E732" s="106" t="str">
        <f>'Detailed Report'!S728</f>
        <v>Successful</v>
      </c>
      <c r="F732" s="109">
        <f>IF(E732=$E$6,('Detailed Report'!Y728),IF(E732=$E$5,(0),0))</f>
        <v>253.69</v>
      </c>
      <c r="G732" s="106">
        <f>IF(E732=$E$6,('Detailed Report'!AQ728),IF(E732=$E$5,('Detailed Report'!AW728),0))</f>
        <v>222.53509</v>
      </c>
      <c r="H732" s="106">
        <f>'Detailed Report'!AS728</f>
        <v>55.633769999999998</v>
      </c>
      <c r="I732" s="106">
        <f>'Detailed Report'!AT728</f>
        <v>7.7887278000000002</v>
      </c>
      <c r="J732" s="106">
        <f>'Detailed Report'!AO728</f>
        <v>4.4395749999999996</v>
      </c>
      <c r="K732" s="106">
        <f>'Detailed Report'!AP728</f>
        <v>0.62154050000000005</v>
      </c>
      <c r="L732" s="106">
        <f>'Detailed Report'!AU728/1.14</f>
        <v>23.67543859649123</v>
      </c>
      <c r="M732" s="106">
        <f>'Detailed Report'!AU728-L732</f>
        <v>3.3145614035087689</v>
      </c>
      <c r="N732" s="110">
        <f>'Detailed Report'!AW728</f>
        <v>158.21600000000001</v>
      </c>
      <c r="O732" s="111">
        <f t="shared" si="57"/>
        <v>64.319089999999989</v>
      </c>
      <c r="P732" s="110">
        <f>'Detailed Report'!AM728</f>
        <v>0</v>
      </c>
      <c r="Q732" s="110">
        <f>'Detailed Report'!AN728</f>
        <v>0</v>
      </c>
      <c r="R732" s="110">
        <f>'Detailed Report'!AU728/1.14</f>
        <v>23.67543859649123</v>
      </c>
      <c r="S732" s="110">
        <f>'Detailed Report'!AU728-'........... - Otlob'!R732</f>
        <v>3.3145614035087689</v>
      </c>
    </row>
    <row r="733" spans="1:19" ht="14.45" customHeight="1" x14ac:dyDescent="0.25">
      <c r="A733" s="105">
        <f>+IF(B733="","",SUBTOTAL(3,B$8:B733))</f>
        <v>726</v>
      </c>
      <c r="B733" s="106" t="str">
        <f>'Detailed Report'!O729</f>
        <v>Fuddruckers - New Maadi</v>
      </c>
      <c r="C733" s="107">
        <f>TRUNC('Detailed Report'!Q729,0)</f>
        <v>46046</v>
      </c>
      <c r="D733" s="108">
        <f>'Detailed Report'!P729</f>
        <v>3417910507</v>
      </c>
      <c r="E733" s="106" t="str">
        <f>'Detailed Report'!S729</f>
        <v>Successful</v>
      </c>
      <c r="F733" s="109">
        <f>IF(E733=$E$6,('Detailed Report'!Y729),IF(E733=$E$5,(0),0))</f>
        <v>352</v>
      </c>
      <c r="G733" s="106">
        <f>IF(E733=$E$6,('Detailed Report'!AQ729),IF(E733=$E$5,('Detailed Report'!AW729),0))</f>
        <v>308.77193</v>
      </c>
      <c r="H733" s="106">
        <f>'Detailed Report'!AS729</f>
        <v>77.192980000000006</v>
      </c>
      <c r="I733" s="106">
        <f>'Detailed Report'!AT729</f>
        <v>10.807017200000001</v>
      </c>
      <c r="J733" s="106">
        <f>'Detailed Report'!AO729</f>
        <v>6.16</v>
      </c>
      <c r="K733" s="106">
        <f>'Detailed Report'!AP729</f>
        <v>0.86240000000000006</v>
      </c>
      <c r="L733" s="106">
        <f>'Detailed Report'!AU729/1.14</f>
        <v>24.55263157894737</v>
      </c>
      <c r="M733" s="106">
        <f>'Detailed Report'!AU729-L733</f>
        <v>3.4373684210526285</v>
      </c>
      <c r="N733" s="110">
        <f>'Detailed Report'!AW729</f>
        <v>228.988</v>
      </c>
      <c r="O733" s="111">
        <f t="shared" si="57"/>
        <v>79.783929999999998</v>
      </c>
      <c r="P733" s="110">
        <f>'Detailed Report'!AM729</f>
        <v>0</v>
      </c>
      <c r="Q733" s="110">
        <f>'Detailed Report'!AN729</f>
        <v>0</v>
      </c>
      <c r="R733" s="110">
        <f>'Detailed Report'!AU729/1.14</f>
        <v>24.55263157894737</v>
      </c>
      <c r="S733" s="110">
        <f>'Detailed Report'!AU729-'........... - Otlob'!R733</f>
        <v>3.4373684210526285</v>
      </c>
    </row>
    <row r="734" spans="1:19" ht="14.45" customHeight="1" x14ac:dyDescent="0.25">
      <c r="A734" s="105">
        <f>+IF(B734="","",SUBTOTAL(3,B$8:B734))</f>
        <v>727</v>
      </c>
      <c r="B734" s="106" t="str">
        <f>'Detailed Report'!O730</f>
        <v>Fuddruckers - Concord Plaza Mall</v>
      </c>
      <c r="C734" s="107">
        <f>TRUNC('Detailed Report'!Q730,0)</f>
        <v>46046</v>
      </c>
      <c r="D734" s="108">
        <f>'Detailed Report'!P730</f>
        <v>3417923091</v>
      </c>
      <c r="E734" s="106" t="str">
        <f>'Detailed Report'!S730</f>
        <v>Successful</v>
      </c>
      <c r="F734" s="109">
        <f>IF(E734=$E$6,('Detailed Report'!Y730),IF(E734=$E$5,(0),0))</f>
        <v>755.34</v>
      </c>
      <c r="G734" s="106">
        <f>IF(E734=$E$6,('Detailed Report'!AQ730),IF(E734=$E$5,('Detailed Report'!AW730),0))</f>
        <v>662.57894999999996</v>
      </c>
      <c r="H734" s="106">
        <f>'Detailed Report'!AS730</f>
        <v>165.64474000000001</v>
      </c>
      <c r="I734" s="106">
        <f>'Detailed Report'!AT730</f>
        <v>23.190263600000002</v>
      </c>
      <c r="J734" s="106">
        <f>'Detailed Report'!AO730</f>
        <v>13.218450000000001</v>
      </c>
      <c r="K734" s="106">
        <f>'Detailed Report'!AP730</f>
        <v>1.8505830000000001</v>
      </c>
      <c r="L734" s="106">
        <f>'Detailed Report'!AU730/1.14</f>
        <v>30.692982456140356</v>
      </c>
      <c r="M734" s="106">
        <f>'Detailed Report'!AU730-L734</f>
        <v>4.2970175438596456</v>
      </c>
      <c r="N734" s="110">
        <f>'Detailed Report'!AW730</f>
        <v>482.24599999999998</v>
      </c>
      <c r="O734" s="111">
        <f t="shared" si="57"/>
        <v>180.33294999999998</v>
      </c>
      <c r="P734" s="110">
        <f>'Detailed Report'!AM730</f>
        <v>30</v>
      </c>
      <c r="Q734" s="110">
        <f>'Detailed Report'!AN730</f>
        <v>4.2</v>
      </c>
      <c r="R734" s="110">
        <f>'Detailed Report'!AU730/1.14</f>
        <v>30.692982456140356</v>
      </c>
      <c r="S734" s="110">
        <f>'Detailed Report'!AU730-'........... - Otlob'!R734</f>
        <v>4.2970175438596456</v>
      </c>
    </row>
    <row r="735" spans="1:19" ht="14.45" customHeight="1" x14ac:dyDescent="0.25">
      <c r="A735" s="105">
        <f>+IF(B735="","",SUBTOTAL(3,B$8:B735))</f>
        <v>728</v>
      </c>
      <c r="B735" s="106" t="str">
        <f>'Detailed Report'!O731</f>
        <v>Fuddruckers - New Maadi</v>
      </c>
      <c r="C735" s="107">
        <f>TRUNC('Detailed Report'!Q731,0)</f>
        <v>46046</v>
      </c>
      <c r="D735" s="108">
        <f>'Detailed Report'!P731</f>
        <v>3417927045</v>
      </c>
      <c r="E735" s="106" t="str">
        <f>'Detailed Report'!S731</f>
        <v>Successful</v>
      </c>
      <c r="F735" s="109">
        <f>IF(E735=$E$6,('Detailed Report'!Y731),IF(E735=$E$5,(0),0))</f>
        <v>1033.81</v>
      </c>
      <c r="G735" s="106">
        <f>IF(E735=$E$6,('Detailed Report'!AQ731),IF(E735=$E$5,('Detailed Report'!AW731),0))</f>
        <v>906.85087999999996</v>
      </c>
      <c r="H735" s="106">
        <f>'Detailed Report'!AS731</f>
        <v>226.71271999999999</v>
      </c>
      <c r="I735" s="106">
        <f>'Detailed Report'!AT731</f>
        <v>31.739780799999998</v>
      </c>
      <c r="J735" s="106">
        <f>'Detailed Report'!AO731</f>
        <v>18.091674999999999</v>
      </c>
      <c r="K735" s="106">
        <f>'Detailed Report'!AP731</f>
        <v>2.5328344999999999</v>
      </c>
      <c r="L735" s="106">
        <f>'Detailed Report'!AU731/1.14</f>
        <v>0</v>
      </c>
      <c r="M735" s="106">
        <f>'Detailed Report'!AU731-L735</f>
        <v>0</v>
      </c>
      <c r="N735" s="110">
        <f>'Detailed Report'!AW731</f>
        <v>754.73299999999995</v>
      </c>
      <c r="O735" s="111">
        <f t="shared" si="57"/>
        <v>152.11788000000001</v>
      </c>
      <c r="P735" s="110">
        <f>'Detailed Report'!AM731</f>
        <v>0</v>
      </c>
      <c r="Q735" s="110">
        <f>'Detailed Report'!AN731</f>
        <v>0</v>
      </c>
      <c r="R735" s="110">
        <f>'Detailed Report'!AU731/1.14</f>
        <v>0</v>
      </c>
      <c r="S735" s="110">
        <f>'Detailed Report'!AU731-'........... - Otlob'!R735</f>
        <v>0</v>
      </c>
    </row>
    <row r="736" spans="1:19" ht="14.45" customHeight="1" x14ac:dyDescent="0.25">
      <c r="A736" s="105">
        <f>+IF(B736="","",SUBTOTAL(3,B$8:B736))</f>
        <v>729</v>
      </c>
      <c r="B736" s="106" t="str">
        <f>'Detailed Report'!O732</f>
        <v>Fuddruckers - Concord Plaza Mall</v>
      </c>
      <c r="C736" s="107">
        <f>TRUNC('Detailed Report'!Q732,0)</f>
        <v>46046</v>
      </c>
      <c r="D736" s="108">
        <f>'Detailed Report'!P732</f>
        <v>3418015623</v>
      </c>
      <c r="E736" s="106" t="str">
        <f>'Detailed Report'!S732</f>
        <v>Successful</v>
      </c>
      <c r="F736" s="109">
        <f>IF(E736=$E$6,('Detailed Report'!Y732),IF(E736=$E$5,(0),0))</f>
        <v>249.99</v>
      </c>
      <c r="G736" s="106">
        <f>IF(E736=$E$6,('Detailed Report'!AQ732),IF(E736=$E$5,('Detailed Report'!AW732),0))</f>
        <v>219.28946999999999</v>
      </c>
      <c r="H736" s="106">
        <f>'Detailed Report'!AS732</f>
        <v>54.822369999999999</v>
      </c>
      <c r="I736" s="106">
        <f>'Detailed Report'!AT732</f>
        <v>7.6751317999999999</v>
      </c>
      <c r="J736" s="106">
        <f>'Detailed Report'!AO732</f>
        <v>0</v>
      </c>
      <c r="K736" s="106">
        <f>'Detailed Report'!AP732</f>
        <v>0</v>
      </c>
      <c r="L736" s="106">
        <f>'Detailed Report'!AU732/1.14</f>
        <v>0</v>
      </c>
      <c r="M736" s="106">
        <f>'Detailed Report'!AU732-L736</f>
        <v>0</v>
      </c>
      <c r="N736" s="110">
        <f>'Detailed Report'!AW732</f>
        <v>187.49199999999999</v>
      </c>
      <c r="O736" s="111">
        <f t="shared" si="57"/>
        <v>31.797470000000004</v>
      </c>
      <c r="P736" s="110">
        <f>'Detailed Report'!AM732</f>
        <v>0</v>
      </c>
      <c r="Q736" s="110">
        <f>'Detailed Report'!AN732</f>
        <v>0</v>
      </c>
      <c r="R736" s="110">
        <f>'Detailed Report'!AU732/1.14</f>
        <v>0</v>
      </c>
      <c r="S736" s="110">
        <f>'Detailed Report'!AU732-'........... - Otlob'!R736</f>
        <v>0</v>
      </c>
    </row>
    <row r="737" spans="1:19" ht="14.45" customHeight="1" x14ac:dyDescent="0.25">
      <c r="A737" s="105">
        <f>+IF(B737="","",SUBTOTAL(3,B$8:B737))</f>
        <v>730</v>
      </c>
      <c r="B737" s="106" t="str">
        <f>'Detailed Report'!O733</f>
        <v>Fuddruckers - Concord Plaza Mall</v>
      </c>
      <c r="C737" s="107">
        <f>TRUNC('Detailed Report'!Q733,0)</f>
        <v>46046</v>
      </c>
      <c r="D737" s="108">
        <f>'Detailed Report'!P733</f>
        <v>3418106068</v>
      </c>
      <c r="E737" s="106" t="str">
        <f>'Detailed Report'!S733</f>
        <v>Successful</v>
      </c>
      <c r="F737" s="109">
        <f>IF(E737=$E$6,('Detailed Report'!Y733),IF(E737=$E$5,(0),0))</f>
        <v>795.35</v>
      </c>
      <c r="G737" s="106">
        <f>IF(E737=$E$6,('Detailed Report'!AQ733),IF(E737=$E$5,('Detailed Report'!AW733),0))</f>
        <v>697.67543999999998</v>
      </c>
      <c r="H737" s="106">
        <f>'Detailed Report'!AS733</f>
        <v>174.41886</v>
      </c>
      <c r="I737" s="106">
        <f>'Detailed Report'!AT733</f>
        <v>24.418640400000001</v>
      </c>
      <c r="J737" s="106">
        <f>'Detailed Report'!AO733</f>
        <v>13.918625</v>
      </c>
      <c r="K737" s="106">
        <f>'Detailed Report'!AP733</f>
        <v>1.9486075</v>
      </c>
      <c r="L737" s="106">
        <f>'Detailed Report'!AU733/1.14</f>
        <v>29.815789473684216</v>
      </c>
      <c r="M737" s="106">
        <f>'Detailed Report'!AU733-L737</f>
        <v>4.174210526315786</v>
      </c>
      <c r="N737" s="110">
        <f>'Detailed Report'!AW733</f>
        <v>546.65499999999997</v>
      </c>
      <c r="O737" s="111">
        <f t="shared" si="57"/>
        <v>151.02044000000001</v>
      </c>
      <c r="P737" s="110">
        <f>'Detailed Report'!AM733</f>
        <v>0</v>
      </c>
      <c r="Q737" s="110">
        <f>'Detailed Report'!AN733</f>
        <v>0</v>
      </c>
      <c r="R737" s="110">
        <f>'Detailed Report'!AU733/1.14</f>
        <v>29.815789473684216</v>
      </c>
      <c r="S737" s="110">
        <f>'Detailed Report'!AU733-'........... - Otlob'!R737</f>
        <v>4.174210526315786</v>
      </c>
    </row>
    <row r="738" spans="1:19" ht="14.45" customHeight="1" x14ac:dyDescent="0.25">
      <c r="A738" s="105">
        <f>+IF(B738="","",SUBTOTAL(3,B$8:B738))</f>
        <v>731</v>
      </c>
      <c r="B738" s="106" t="str">
        <f>'Detailed Report'!O734</f>
        <v>Fuddruckers - Concord Plaza Mall</v>
      </c>
      <c r="C738" s="107">
        <f>TRUNC('Detailed Report'!Q734,0)</f>
        <v>46046</v>
      </c>
      <c r="D738" s="108">
        <f>'Detailed Report'!P734</f>
        <v>3418142055</v>
      </c>
      <c r="E738" s="106" t="str">
        <f>'Detailed Report'!S734</f>
        <v>Successful</v>
      </c>
      <c r="F738" s="109">
        <f>IF(E738=$E$6,('Detailed Report'!Y734),IF(E738=$E$5,(0),0))</f>
        <v>250</v>
      </c>
      <c r="G738" s="106">
        <f>IF(E738=$E$6,('Detailed Report'!AQ734),IF(E738=$E$5,('Detailed Report'!AW734),0))</f>
        <v>219.29825</v>
      </c>
      <c r="H738" s="106">
        <f>'Detailed Report'!AS734</f>
        <v>54.824559999999998</v>
      </c>
      <c r="I738" s="106">
        <f>'Detailed Report'!AT734</f>
        <v>7.6754384</v>
      </c>
      <c r="J738" s="106">
        <f>'Detailed Report'!AO734</f>
        <v>4.375</v>
      </c>
      <c r="K738" s="106">
        <f>'Detailed Report'!AP734</f>
        <v>0.61250000000000004</v>
      </c>
      <c r="L738" s="106">
        <f>'Detailed Report'!AU734/1.14</f>
        <v>30.692982456140356</v>
      </c>
      <c r="M738" s="106">
        <f>'Detailed Report'!AU734-L738</f>
        <v>4.2970175438596456</v>
      </c>
      <c r="N738" s="110">
        <f>'Detailed Report'!AW734</f>
        <v>147.523</v>
      </c>
      <c r="O738" s="111">
        <f t="shared" si="57"/>
        <v>71.77525</v>
      </c>
      <c r="P738" s="110">
        <f>'Detailed Report'!AM734</f>
        <v>0</v>
      </c>
      <c r="Q738" s="110">
        <f>'Detailed Report'!AN734</f>
        <v>0</v>
      </c>
      <c r="R738" s="110">
        <f>'Detailed Report'!AU734/1.14</f>
        <v>30.692982456140356</v>
      </c>
      <c r="S738" s="110">
        <f>'Detailed Report'!AU734-'........... - Otlob'!R738</f>
        <v>4.2970175438596456</v>
      </c>
    </row>
    <row r="739" spans="1:19" ht="14.45" customHeight="1" x14ac:dyDescent="0.25">
      <c r="A739" s="105">
        <f>+IF(B739="","",SUBTOTAL(3,B$8:B739))</f>
        <v>732</v>
      </c>
      <c r="B739" s="106" t="str">
        <f>'Detailed Report'!O735</f>
        <v>Fuddruckers - Concord Plaza Mall</v>
      </c>
      <c r="C739" s="107">
        <f>TRUNC('Detailed Report'!Q735,0)</f>
        <v>46046</v>
      </c>
      <c r="D739" s="108">
        <f>'Detailed Report'!P735</f>
        <v>3418176674</v>
      </c>
      <c r="E739" s="106" t="str">
        <f>'Detailed Report'!S735</f>
        <v>Successful</v>
      </c>
      <c r="F739" s="109">
        <f>IF(E739=$E$6,('Detailed Report'!Y735),IF(E739=$E$5,(0),0))</f>
        <v>565.66</v>
      </c>
      <c r="G739" s="106">
        <f>IF(E739=$E$6,('Detailed Report'!AQ735),IF(E739=$E$5,('Detailed Report'!AW735),0))</f>
        <v>496.19297999999998</v>
      </c>
      <c r="H739" s="106">
        <f>'Detailed Report'!AS735</f>
        <v>124.04825</v>
      </c>
      <c r="I739" s="106">
        <f>'Detailed Report'!AT735</f>
        <v>17.366755000000001</v>
      </c>
      <c r="J739" s="106">
        <f>'Detailed Report'!AO735</f>
        <v>9.8990500000000008</v>
      </c>
      <c r="K739" s="106">
        <f>'Detailed Report'!AP735</f>
        <v>1.385867</v>
      </c>
      <c r="L739" s="106">
        <f>'Detailed Report'!AU735/1.14</f>
        <v>30.692982456140356</v>
      </c>
      <c r="M739" s="106">
        <f>'Detailed Report'!AU735-L739</f>
        <v>4.2970175438596456</v>
      </c>
      <c r="N739" s="110">
        <f>'Detailed Report'!AW735</f>
        <v>377.97</v>
      </c>
      <c r="O739" s="111">
        <f t="shared" si="57"/>
        <v>118.22297999999995</v>
      </c>
      <c r="P739" s="110">
        <f>'Detailed Report'!AM735</f>
        <v>0</v>
      </c>
      <c r="Q739" s="110">
        <f>'Detailed Report'!AN735</f>
        <v>0</v>
      </c>
      <c r="R739" s="110">
        <f>'Detailed Report'!AU735/1.14</f>
        <v>30.692982456140356</v>
      </c>
      <c r="S739" s="110">
        <f>'Detailed Report'!AU735-'........... - Otlob'!R739</f>
        <v>4.2970175438596456</v>
      </c>
    </row>
    <row r="740" spans="1:19" ht="14.45" customHeight="1" x14ac:dyDescent="0.25">
      <c r="A740" s="105">
        <f>+IF(B740="","",SUBTOTAL(3,B$8:B740))</f>
        <v>733</v>
      </c>
      <c r="B740" s="106" t="str">
        <f>'Detailed Report'!O736</f>
        <v>Fuddruckers - Concord Plaza Mall</v>
      </c>
      <c r="C740" s="107">
        <f>TRUNC('Detailed Report'!Q736,0)</f>
        <v>46046</v>
      </c>
      <c r="D740" s="108">
        <f>'Detailed Report'!P736</f>
        <v>3418193587</v>
      </c>
      <c r="E740" s="106" t="str">
        <f>'Detailed Report'!S736</f>
        <v>Successful</v>
      </c>
      <c r="F740" s="109">
        <f>IF(E740=$E$6,('Detailed Report'!Y736),IF(E740=$E$5,(0),0))</f>
        <v>224.99</v>
      </c>
      <c r="G740" s="106">
        <f>IF(E740=$E$6,('Detailed Report'!AQ736),IF(E740=$E$5,('Detailed Report'!AW736),0))</f>
        <v>197.35964999999999</v>
      </c>
      <c r="H740" s="106">
        <f>'Detailed Report'!AS736</f>
        <v>49.339910000000003</v>
      </c>
      <c r="I740" s="106">
        <f>'Detailed Report'!AT736</f>
        <v>6.9075873999999997</v>
      </c>
      <c r="J740" s="106">
        <f>'Detailed Report'!AO736</f>
        <v>3.937325</v>
      </c>
      <c r="K740" s="106">
        <f>'Detailed Report'!AP736</f>
        <v>0.55122550000000003</v>
      </c>
      <c r="L740" s="106">
        <f>'Detailed Report'!AU736/1.14</f>
        <v>28.061403508771932</v>
      </c>
      <c r="M740" s="106">
        <f>'Detailed Report'!AU736-L740</f>
        <v>3.9285964912280669</v>
      </c>
      <c r="N740" s="110">
        <f>'Detailed Report'!AW736</f>
        <v>132.26400000000001</v>
      </c>
      <c r="O740" s="111">
        <f t="shared" si="57"/>
        <v>65.095649999999978</v>
      </c>
      <c r="P740" s="110">
        <f>'Detailed Report'!AM736</f>
        <v>0</v>
      </c>
      <c r="Q740" s="110">
        <f>'Detailed Report'!AN736</f>
        <v>0</v>
      </c>
      <c r="R740" s="110">
        <f>'Detailed Report'!AU736/1.14</f>
        <v>28.061403508771932</v>
      </c>
      <c r="S740" s="110">
        <f>'Detailed Report'!AU736-'........... - Otlob'!R740</f>
        <v>3.9285964912280669</v>
      </c>
    </row>
    <row r="741" spans="1:19" ht="14.45" customHeight="1" x14ac:dyDescent="0.25">
      <c r="A741" s="105">
        <f>+IF(B741="","",SUBTOTAL(3,B$8:B741))</f>
        <v>734</v>
      </c>
      <c r="B741" s="106" t="str">
        <f>'Detailed Report'!O737</f>
        <v>Fuddruckers - New Maadi</v>
      </c>
      <c r="C741" s="107">
        <f>TRUNC('Detailed Report'!Q737,0)</f>
        <v>46047</v>
      </c>
      <c r="D741" s="108">
        <f>'Detailed Report'!P737</f>
        <v>3418863899</v>
      </c>
      <c r="E741" s="106" t="str">
        <f>'Detailed Report'!S737</f>
        <v>Successful</v>
      </c>
      <c r="F741" s="109">
        <f>IF(E741=$E$6,('Detailed Report'!Y737),IF(E741=$E$5,(0),0))</f>
        <v>1417.75</v>
      </c>
      <c r="G741" s="106">
        <f>IF(E741=$E$6,('Detailed Report'!AQ737),IF(E741=$E$5,('Detailed Report'!AW737),0))</f>
        <v>1243.6403499999999</v>
      </c>
      <c r="H741" s="106">
        <f>'Detailed Report'!AS737</f>
        <v>310.91009000000003</v>
      </c>
      <c r="I741" s="106">
        <f>'Detailed Report'!AT737</f>
        <v>43.527412599999998</v>
      </c>
      <c r="J741" s="106">
        <f>'Detailed Report'!AO737</f>
        <v>24.810625000000002</v>
      </c>
      <c r="K741" s="106">
        <f>'Detailed Report'!AP737</f>
        <v>3.4734875000000001</v>
      </c>
      <c r="L741" s="106">
        <f>'Detailed Report'!AU737/1.14</f>
        <v>0</v>
      </c>
      <c r="M741" s="106">
        <f>'Detailed Report'!AU737-L741</f>
        <v>0</v>
      </c>
      <c r="N741" s="110">
        <f>'Detailed Report'!AW737</f>
        <v>1035.028</v>
      </c>
      <c r="O741" s="111">
        <f t="shared" si="57"/>
        <v>208.61234999999988</v>
      </c>
      <c r="P741" s="110">
        <f>'Detailed Report'!AM737</f>
        <v>0</v>
      </c>
      <c r="Q741" s="110">
        <f>'Detailed Report'!AN737</f>
        <v>0</v>
      </c>
      <c r="R741" s="110">
        <f>'Detailed Report'!AU737/1.14</f>
        <v>0</v>
      </c>
      <c r="S741" s="110">
        <f>'Detailed Report'!AU737-'........... - Otlob'!R741</f>
        <v>0</v>
      </c>
    </row>
    <row r="742" spans="1:19" ht="14.45" customHeight="1" x14ac:dyDescent="0.25">
      <c r="A742" s="105">
        <f>+IF(B742="","",SUBTOTAL(3,B$8:B742))</f>
        <v>735</v>
      </c>
      <c r="B742" s="106" t="str">
        <f>'Detailed Report'!O738</f>
        <v>Fuddruckers - New Maadi</v>
      </c>
      <c r="C742" s="107">
        <f>TRUNC('Detailed Report'!Q738,0)</f>
        <v>46047</v>
      </c>
      <c r="D742" s="108">
        <f>'Detailed Report'!P738</f>
        <v>3418969879</v>
      </c>
      <c r="E742" s="106" t="str">
        <f>'Detailed Report'!S738</f>
        <v>Successful</v>
      </c>
      <c r="F742" s="109">
        <f>IF(E742=$E$6,('Detailed Report'!Y738),IF(E742=$E$5,(0),0))</f>
        <v>769.99</v>
      </c>
      <c r="G742" s="106">
        <f>IF(E742=$E$6,('Detailed Report'!AQ738),IF(E742=$E$5,('Detailed Report'!AW738),0))</f>
        <v>675.42981999999995</v>
      </c>
      <c r="H742" s="106">
        <f>'Detailed Report'!AS738</f>
        <v>168.85746</v>
      </c>
      <c r="I742" s="106">
        <f>'Detailed Report'!AT738</f>
        <v>23.640044400000001</v>
      </c>
      <c r="J742" s="106">
        <f>'Detailed Report'!AO738</f>
        <v>13.474824999999999</v>
      </c>
      <c r="K742" s="106">
        <f>'Detailed Report'!AP738</f>
        <v>1.8864755</v>
      </c>
      <c r="L742" s="106">
        <f>'Detailed Report'!AU738/1.14</f>
        <v>23.67543859649123</v>
      </c>
      <c r="M742" s="106">
        <f>'Detailed Report'!AU738-L742</f>
        <v>3.3145614035087689</v>
      </c>
      <c r="N742" s="110">
        <f>'Detailed Report'!AW738</f>
        <v>535.14099999999996</v>
      </c>
      <c r="O742" s="111">
        <f t="shared" si="57"/>
        <v>140.28881999999999</v>
      </c>
      <c r="P742" s="110">
        <f>'Detailed Report'!AM738</f>
        <v>0</v>
      </c>
      <c r="Q742" s="110">
        <f>'Detailed Report'!AN738</f>
        <v>0</v>
      </c>
      <c r="R742" s="110">
        <f>'Detailed Report'!AU738/1.14</f>
        <v>23.67543859649123</v>
      </c>
      <c r="S742" s="110">
        <f>'Detailed Report'!AU738-'........... - Otlob'!R742</f>
        <v>3.3145614035087689</v>
      </c>
    </row>
    <row r="743" spans="1:19" ht="14.45" customHeight="1" x14ac:dyDescent="0.25">
      <c r="A743" s="105">
        <f>+IF(B743="","",SUBTOTAL(3,B$8:B743))</f>
        <v>736</v>
      </c>
      <c r="B743" s="106" t="str">
        <f>'Detailed Report'!O739</f>
        <v>Fuddruckers - City Stars</v>
      </c>
      <c r="C743" s="107">
        <f>TRUNC('Detailed Report'!Q739,0)</f>
        <v>46047</v>
      </c>
      <c r="D743" s="108">
        <f>'Detailed Report'!P739</f>
        <v>3419009928</v>
      </c>
      <c r="E743" s="106" t="str">
        <f>'Detailed Report'!S739</f>
        <v>Successful</v>
      </c>
      <c r="F743" s="109">
        <f>IF(E743=$E$6,('Detailed Report'!Y739),IF(E743=$E$5,(0),0))</f>
        <v>1189.3</v>
      </c>
      <c r="G743" s="106">
        <f>IF(E743=$E$6,('Detailed Report'!AQ739),IF(E743=$E$5,('Detailed Report'!AW739),0))</f>
        <v>1043.2456099999999</v>
      </c>
      <c r="H743" s="106">
        <f>'Detailed Report'!AS739</f>
        <v>260.81139999999999</v>
      </c>
      <c r="I743" s="106">
        <f>'Detailed Report'!AT739</f>
        <v>36.513596</v>
      </c>
      <c r="J743" s="106">
        <f>'Detailed Report'!AO739</f>
        <v>20.812750000000001</v>
      </c>
      <c r="K743" s="106">
        <f>'Detailed Report'!AP739</f>
        <v>2.9137849999999998</v>
      </c>
      <c r="L743" s="106">
        <f>'Detailed Report'!AU739/1.14</f>
        <v>0</v>
      </c>
      <c r="M743" s="106">
        <f>'Detailed Report'!AU739-L743</f>
        <v>0</v>
      </c>
      <c r="N743" s="110">
        <f>'Detailed Report'!AW739</f>
        <v>868.24800000000005</v>
      </c>
      <c r="O743" s="111">
        <f t="shared" si="57"/>
        <v>174.9976099999999</v>
      </c>
      <c r="P743" s="110">
        <f>'Detailed Report'!AM739</f>
        <v>0</v>
      </c>
      <c r="Q743" s="110">
        <f>'Detailed Report'!AN739</f>
        <v>0</v>
      </c>
      <c r="R743" s="110">
        <f>'Detailed Report'!AU739/1.14</f>
        <v>0</v>
      </c>
      <c r="S743" s="110">
        <f>'Detailed Report'!AU739-'........... - Otlob'!R743</f>
        <v>0</v>
      </c>
    </row>
    <row r="744" spans="1:19" ht="14.45" customHeight="1" x14ac:dyDescent="0.25">
      <c r="A744" s="105">
        <f>+IF(B744="","",SUBTOTAL(3,B$8:B744))</f>
        <v>737</v>
      </c>
      <c r="B744" s="106" t="str">
        <f>'Detailed Report'!O740</f>
        <v>Fuddruckers - New Maadi</v>
      </c>
      <c r="C744" s="107">
        <f>TRUNC('Detailed Report'!Q740,0)</f>
        <v>46047</v>
      </c>
      <c r="D744" s="108">
        <f>'Detailed Report'!P740</f>
        <v>3419053920</v>
      </c>
      <c r="E744" s="106" t="str">
        <f>'Detailed Report'!S740</f>
        <v>Successful</v>
      </c>
      <c r="F744" s="109">
        <f>IF(E744=$E$6,('Detailed Report'!Y740),IF(E744=$E$5,(0),0))</f>
        <v>1186.97</v>
      </c>
      <c r="G744" s="106">
        <f>IF(E744=$E$6,('Detailed Report'!AQ740),IF(E744=$E$5,('Detailed Report'!AW740),0))</f>
        <v>1041.2017499999999</v>
      </c>
      <c r="H744" s="106">
        <f>'Detailed Report'!AS740</f>
        <v>260.30043999999998</v>
      </c>
      <c r="I744" s="106">
        <f>'Detailed Report'!AT740</f>
        <v>36.442061600000002</v>
      </c>
      <c r="J744" s="106">
        <f>'Detailed Report'!AO740</f>
        <v>20.771975000000001</v>
      </c>
      <c r="K744" s="106">
        <f>'Detailed Report'!AP740</f>
        <v>2.9080765</v>
      </c>
      <c r="L744" s="106">
        <f>'Detailed Report'!AU740/1.14</f>
        <v>0</v>
      </c>
      <c r="M744" s="106">
        <f>'Detailed Report'!AU740-L744</f>
        <v>0</v>
      </c>
      <c r="N744" s="110">
        <f>'Detailed Report'!AW740</f>
        <v>866.54700000000003</v>
      </c>
      <c r="O744" s="111">
        <f t="shared" si="57"/>
        <v>174.65474999999992</v>
      </c>
      <c r="P744" s="110">
        <f>'Detailed Report'!AM740</f>
        <v>0</v>
      </c>
      <c r="Q744" s="110">
        <f>'Detailed Report'!AN740</f>
        <v>0</v>
      </c>
      <c r="R744" s="110">
        <f>'Detailed Report'!AU740/1.14</f>
        <v>0</v>
      </c>
      <c r="S744" s="110">
        <f>'Detailed Report'!AU740-'........... - Otlob'!R744</f>
        <v>0</v>
      </c>
    </row>
    <row r="745" spans="1:19" ht="14.45" customHeight="1" x14ac:dyDescent="0.25">
      <c r="A745" s="105">
        <f>+IF(B745="","",SUBTOTAL(3,B$8:B745))</f>
        <v>738</v>
      </c>
      <c r="B745" s="106" t="str">
        <f>'Detailed Report'!O741</f>
        <v>Fuddruckers - City Stars</v>
      </c>
      <c r="C745" s="107">
        <f>TRUNC('Detailed Report'!Q741,0)</f>
        <v>46047</v>
      </c>
      <c r="D745" s="108">
        <f>'Detailed Report'!P741</f>
        <v>3419110078</v>
      </c>
      <c r="E745" s="106" t="str">
        <f>'Detailed Report'!S741</f>
        <v>Successful</v>
      </c>
      <c r="F745" s="109">
        <f>IF(E745=$E$6,('Detailed Report'!Y741),IF(E745=$E$5,(0),0))</f>
        <v>668</v>
      </c>
      <c r="G745" s="106">
        <f>IF(E745=$E$6,('Detailed Report'!AQ741),IF(E745=$E$5,('Detailed Report'!AW741),0))</f>
        <v>585.96491000000003</v>
      </c>
      <c r="H745" s="106">
        <f>'Detailed Report'!AS741</f>
        <v>146.49123</v>
      </c>
      <c r="I745" s="106">
        <f>'Detailed Report'!AT741</f>
        <v>20.508772199999999</v>
      </c>
      <c r="J745" s="106">
        <f>'Detailed Report'!AO741</f>
        <v>11.69</v>
      </c>
      <c r="K745" s="106">
        <f>'Detailed Report'!AP741</f>
        <v>1.6366000000000001</v>
      </c>
      <c r="L745" s="106">
        <f>'Detailed Report'!AU741/1.14</f>
        <v>25.42982456140351</v>
      </c>
      <c r="M745" s="106">
        <f>'Detailed Report'!AU741-L745</f>
        <v>3.5601754385964881</v>
      </c>
      <c r="N745" s="110">
        <f>'Detailed Report'!AW741</f>
        <v>424.483</v>
      </c>
      <c r="O745" s="111">
        <f t="shared" si="57"/>
        <v>161.48191000000003</v>
      </c>
      <c r="P745" s="110">
        <f>'Detailed Report'!AM741</f>
        <v>30</v>
      </c>
      <c r="Q745" s="110">
        <f>'Detailed Report'!AN741</f>
        <v>4.2</v>
      </c>
      <c r="R745" s="110">
        <f>'Detailed Report'!AU741/1.14</f>
        <v>25.42982456140351</v>
      </c>
      <c r="S745" s="110">
        <f>'Detailed Report'!AU741-'........... - Otlob'!R745</f>
        <v>3.5601754385964881</v>
      </c>
    </row>
    <row r="746" spans="1:19" ht="14.45" customHeight="1" x14ac:dyDescent="0.25">
      <c r="A746" s="105">
        <f>+IF(B746="","",SUBTOTAL(3,B$8:B746))</f>
        <v>739</v>
      </c>
      <c r="B746" s="106" t="str">
        <f>'Detailed Report'!O742</f>
        <v>Fuddruckers - New Maadi</v>
      </c>
      <c r="C746" s="107">
        <f>TRUNC('Detailed Report'!Q742,0)</f>
        <v>46047</v>
      </c>
      <c r="D746" s="108">
        <f>'Detailed Report'!P742</f>
        <v>3419155647</v>
      </c>
      <c r="E746" s="106" t="str">
        <f>'Detailed Report'!S742</f>
        <v>Successful</v>
      </c>
      <c r="F746" s="109">
        <f>IF(E746=$E$6,('Detailed Report'!Y742),IF(E746=$E$5,(0),0))</f>
        <v>499.98</v>
      </c>
      <c r="G746" s="106">
        <f>IF(E746=$E$6,('Detailed Report'!AQ742),IF(E746=$E$5,('Detailed Report'!AW742),0))</f>
        <v>438.57895000000002</v>
      </c>
      <c r="H746" s="106">
        <f>'Detailed Report'!AS742</f>
        <v>109.64474</v>
      </c>
      <c r="I746" s="106">
        <f>'Detailed Report'!AT742</f>
        <v>15.3502636</v>
      </c>
      <c r="J746" s="106">
        <f>'Detailed Report'!AO742</f>
        <v>8.7496500000000008</v>
      </c>
      <c r="K746" s="106">
        <f>'Detailed Report'!AP742</f>
        <v>1.2249509999999999</v>
      </c>
      <c r="L746" s="106">
        <f>'Detailed Report'!AU742/1.14</f>
        <v>23.67543859649123</v>
      </c>
      <c r="M746" s="106">
        <f>'Detailed Report'!AU742-L746</f>
        <v>3.3145614035087689</v>
      </c>
      <c r="N746" s="110">
        <f>'Detailed Report'!AW742</f>
        <v>338.02</v>
      </c>
      <c r="O746" s="111">
        <f t="shared" si="57"/>
        <v>100.55895000000004</v>
      </c>
      <c r="P746" s="110">
        <f>'Detailed Report'!AM742</f>
        <v>0</v>
      </c>
      <c r="Q746" s="110">
        <f>'Detailed Report'!AN742</f>
        <v>0</v>
      </c>
      <c r="R746" s="110">
        <f>'Detailed Report'!AU742/1.14</f>
        <v>23.67543859649123</v>
      </c>
      <c r="S746" s="110">
        <f>'Detailed Report'!AU742-'........... - Otlob'!R746</f>
        <v>3.3145614035087689</v>
      </c>
    </row>
    <row r="747" spans="1:19" ht="14.45" customHeight="1" x14ac:dyDescent="0.25">
      <c r="A747" s="105">
        <f>+IF(B747="","",SUBTOTAL(3,B$8:B747))</f>
        <v>740</v>
      </c>
      <c r="B747" s="106" t="str">
        <f>'Detailed Report'!O743</f>
        <v>Fuddruckers - Concord Plaza Mall</v>
      </c>
      <c r="C747" s="107">
        <f>TRUNC('Detailed Report'!Q743,0)</f>
        <v>46047</v>
      </c>
      <c r="D747" s="108">
        <f>'Detailed Report'!P743</f>
        <v>3419165755</v>
      </c>
      <c r="E747" s="106" t="str">
        <f>'Detailed Report'!S743</f>
        <v>Successful</v>
      </c>
      <c r="F747" s="109">
        <f>IF(E747=$E$6,('Detailed Report'!Y743),IF(E747=$E$5,(0),0))</f>
        <v>967.32</v>
      </c>
      <c r="G747" s="106">
        <f>IF(E747=$E$6,('Detailed Report'!AQ743),IF(E747=$E$5,('Detailed Report'!AW743),0))</f>
        <v>848.52632000000006</v>
      </c>
      <c r="H747" s="106">
        <f>'Detailed Report'!AS743</f>
        <v>212.13158000000001</v>
      </c>
      <c r="I747" s="106">
        <f>'Detailed Report'!AT743</f>
        <v>29.698421199999999</v>
      </c>
      <c r="J747" s="106">
        <f>'Detailed Report'!AO743</f>
        <v>16.928100000000001</v>
      </c>
      <c r="K747" s="106">
        <f>'Detailed Report'!AP743</f>
        <v>2.3699340000000002</v>
      </c>
      <c r="L747" s="106">
        <f>'Detailed Report'!AU743/1.14</f>
        <v>28.938596491228076</v>
      </c>
      <c r="M747" s="106">
        <f>'Detailed Report'!AU743-L747</f>
        <v>4.0514035087719265</v>
      </c>
      <c r="N747" s="110">
        <f>'Detailed Report'!AW743</f>
        <v>673.202</v>
      </c>
      <c r="O747" s="111">
        <f t="shared" si="57"/>
        <v>175.32432000000006</v>
      </c>
      <c r="P747" s="110">
        <f>'Detailed Report'!AM743</f>
        <v>0</v>
      </c>
      <c r="Q747" s="110">
        <f>'Detailed Report'!AN743</f>
        <v>0</v>
      </c>
      <c r="R747" s="110">
        <f>'Detailed Report'!AU743/1.14</f>
        <v>28.938596491228076</v>
      </c>
      <c r="S747" s="110">
        <f>'Detailed Report'!AU743-'........... - Otlob'!R747</f>
        <v>4.0514035087719265</v>
      </c>
    </row>
    <row r="748" spans="1:19" ht="14.45" customHeight="1" x14ac:dyDescent="0.25">
      <c r="A748" s="105">
        <f>+IF(B748="","",SUBTOTAL(3,B$8:B748))</f>
        <v>741</v>
      </c>
      <c r="B748" s="106" t="str">
        <f>'Detailed Report'!O744</f>
        <v>Fuddruckers - Concord Plaza Mall</v>
      </c>
      <c r="C748" s="107">
        <f>TRUNC('Detailed Report'!Q744,0)</f>
        <v>46047</v>
      </c>
      <c r="D748" s="108">
        <f>'Detailed Report'!P744</f>
        <v>3419246164</v>
      </c>
      <c r="E748" s="106" t="str">
        <f>'Detailed Report'!S744</f>
        <v>Successful</v>
      </c>
      <c r="F748" s="109">
        <f>IF(E748=$E$6,('Detailed Report'!Y744),IF(E748=$E$5,(0),0))</f>
        <v>392.99</v>
      </c>
      <c r="G748" s="106">
        <f>IF(E748=$E$6,('Detailed Report'!AQ744),IF(E748=$E$5,('Detailed Report'!AW744),0))</f>
        <v>406.71929999999998</v>
      </c>
      <c r="H748" s="106">
        <f>'Detailed Report'!AS744</f>
        <v>101.67983</v>
      </c>
      <c r="I748" s="106">
        <f>'Detailed Report'!AT744</f>
        <v>14.2351762</v>
      </c>
      <c r="J748" s="106">
        <f>'Detailed Report'!AO744</f>
        <v>6.8773249999999999</v>
      </c>
      <c r="K748" s="106">
        <f>'Detailed Report'!AP744</f>
        <v>0.9628255</v>
      </c>
      <c r="L748" s="106">
        <f>'Detailed Report'!AU744/1.14</f>
        <v>28.061403508771932</v>
      </c>
      <c r="M748" s="106">
        <f>'Detailed Report'!AU744-L748</f>
        <v>3.9285964912280669</v>
      </c>
      <c r="N748" s="110">
        <f>'Detailed Report'!AW744</f>
        <v>237.245</v>
      </c>
      <c r="O748" s="111">
        <f t="shared" si="57"/>
        <v>169.47429999999997</v>
      </c>
      <c r="P748" s="110">
        <f>'Detailed Report'!AM744</f>
        <v>0</v>
      </c>
      <c r="Q748" s="110">
        <f>'Detailed Report'!AN744</f>
        <v>0</v>
      </c>
      <c r="R748" s="110">
        <f>'Detailed Report'!AU744/1.14</f>
        <v>28.061403508771932</v>
      </c>
      <c r="S748" s="110">
        <f>'Detailed Report'!AU744-'........... - Otlob'!R748</f>
        <v>3.9285964912280669</v>
      </c>
    </row>
    <row r="749" spans="1:19" x14ac:dyDescent="0.25">
      <c r="A749" s="105">
        <f>+IF(B749="","",SUBTOTAL(3,B$8:B749))</f>
        <v>742</v>
      </c>
      <c r="B749" s="106" t="str">
        <f>'Detailed Report'!O745</f>
        <v>Fuddruckers - Concord Plaza Mall</v>
      </c>
      <c r="C749" s="107">
        <f>TRUNC('Detailed Report'!Q745,0)</f>
        <v>46047</v>
      </c>
      <c r="D749" s="108">
        <f>'Detailed Report'!P745</f>
        <v>3419275889</v>
      </c>
      <c r="E749" s="106" t="str">
        <f>'Detailed Report'!S745</f>
        <v>Successful</v>
      </c>
      <c r="F749" s="109">
        <f>IF(E749=$E$6,('Detailed Report'!Y745),IF(E749=$E$5,(0),0))</f>
        <v>457.64</v>
      </c>
      <c r="G749" s="106">
        <f>IF(E749=$E$6,('Detailed Report'!AQ745),IF(E749=$E$5,('Detailed Report'!AW745),0))</f>
        <v>401.43860000000001</v>
      </c>
      <c r="H749" s="106">
        <f>'Detailed Report'!AS745</f>
        <v>100.35965</v>
      </c>
      <c r="I749" s="106">
        <f>'Detailed Report'!AT745</f>
        <v>14.050350999999999</v>
      </c>
      <c r="J749" s="106">
        <f>'Detailed Report'!AO745</f>
        <v>8.0086999999999993</v>
      </c>
      <c r="K749" s="106">
        <f>'Detailed Report'!AP745</f>
        <v>1.121218</v>
      </c>
      <c r="L749" s="106">
        <f>'Detailed Report'!AU745/1.14</f>
        <v>30.692982456140356</v>
      </c>
      <c r="M749" s="106">
        <f>'Detailed Report'!AU745-L749</f>
        <v>4.2970175438596456</v>
      </c>
      <c r="N749" s="110">
        <f>'Detailed Report'!AW745</f>
        <v>299.11</v>
      </c>
      <c r="O749" s="111">
        <f t="shared" si="57"/>
        <v>102.32859999999999</v>
      </c>
      <c r="P749" s="110">
        <f>'Detailed Report'!AM745</f>
        <v>0</v>
      </c>
      <c r="Q749" s="110">
        <f>'Detailed Report'!AN745</f>
        <v>0</v>
      </c>
      <c r="R749" s="110">
        <f>'Detailed Report'!AU745/1.14</f>
        <v>30.692982456140356</v>
      </c>
      <c r="S749" s="110">
        <f>'Detailed Report'!AU745-'........... - Otlob'!R749</f>
        <v>4.2970175438596456</v>
      </c>
    </row>
    <row r="750" spans="1:19" x14ac:dyDescent="0.25">
      <c r="A750" s="105">
        <f>+IF(B750="","",SUBTOTAL(3,B$8:B750))</f>
        <v>743</v>
      </c>
      <c r="B750" s="106" t="str">
        <f>'Detailed Report'!O746</f>
        <v>Fuddruckers - New Maadi</v>
      </c>
      <c r="C750" s="107">
        <f>TRUNC('Detailed Report'!Q746,0)</f>
        <v>46047</v>
      </c>
      <c r="D750" s="108">
        <f>'Detailed Report'!P746</f>
        <v>3419321564</v>
      </c>
      <c r="E750" s="106" t="str">
        <f>'Detailed Report'!S746</f>
        <v>Successful</v>
      </c>
      <c r="F750" s="109">
        <f>IF(E750=$E$6,('Detailed Report'!Y746),IF(E750=$E$5,(0),0))</f>
        <v>695.98</v>
      </c>
      <c r="G750" s="106">
        <f>IF(E750=$E$6,('Detailed Report'!AQ746),IF(E750=$E$5,('Detailed Report'!AW746),0))</f>
        <v>610.50877000000003</v>
      </c>
      <c r="H750" s="106">
        <f>'Detailed Report'!AS746</f>
        <v>152.62719000000001</v>
      </c>
      <c r="I750" s="106">
        <f>'Detailed Report'!AT746</f>
        <v>21.367806600000002</v>
      </c>
      <c r="J750" s="106">
        <f>'Detailed Report'!AO746</f>
        <v>12.179650000000001</v>
      </c>
      <c r="K750" s="106">
        <f>'Detailed Report'!AP746</f>
        <v>1.7051510000000001</v>
      </c>
      <c r="L750" s="106">
        <f>'Detailed Report'!AU746/1.14</f>
        <v>24.55263157894737</v>
      </c>
      <c r="M750" s="106">
        <f>'Detailed Report'!AU746-L750</f>
        <v>3.4373684210526285</v>
      </c>
      <c r="N750" s="110">
        <f>'Detailed Report'!AW746</f>
        <v>480.11</v>
      </c>
      <c r="O750" s="111">
        <f t="shared" si="57"/>
        <v>130.39877000000001</v>
      </c>
      <c r="P750" s="110">
        <f>'Detailed Report'!AM746</f>
        <v>0</v>
      </c>
      <c r="Q750" s="110">
        <f>'Detailed Report'!AN746</f>
        <v>0</v>
      </c>
      <c r="R750" s="110">
        <f>'Detailed Report'!AU746/1.14</f>
        <v>24.55263157894737</v>
      </c>
      <c r="S750" s="110">
        <f>'Detailed Report'!AU746-'........... - Otlob'!R750</f>
        <v>3.4373684210526285</v>
      </c>
    </row>
    <row r="751" spans="1:19" x14ac:dyDescent="0.25">
      <c r="A751" s="105">
        <f>+IF(B751="","",SUBTOTAL(3,B$8:B751))</f>
        <v>744</v>
      </c>
      <c r="B751" s="106" t="str">
        <f>'Detailed Report'!O747</f>
        <v>Fuddruckers - New Maadi</v>
      </c>
      <c r="C751" s="107">
        <f>TRUNC('Detailed Report'!Q747,0)</f>
        <v>46047</v>
      </c>
      <c r="D751" s="108">
        <f>'Detailed Report'!P747</f>
        <v>3419355700</v>
      </c>
      <c r="E751" s="106" t="str">
        <f>'Detailed Report'!S747</f>
        <v>Successful</v>
      </c>
      <c r="F751" s="109">
        <f>IF(E751=$E$6,('Detailed Report'!Y747),IF(E751=$E$5,(0),0))</f>
        <v>764.98</v>
      </c>
      <c r="G751" s="106">
        <f>IF(E751=$E$6,('Detailed Report'!AQ747),IF(E751=$E$5,('Detailed Report'!AW747),0))</f>
        <v>671.03508999999997</v>
      </c>
      <c r="H751" s="106">
        <f>'Detailed Report'!AS747</f>
        <v>167.75877</v>
      </c>
      <c r="I751" s="106">
        <f>'Detailed Report'!AT747</f>
        <v>23.486227800000002</v>
      </c>
      <c r="J751" s="106">
        <f>'Detailed Report'!AO747</f>
        <v>13.38715</v>
      </c>
      <c r="K751" s="106">
        <f>'Detailed Report'!AP747</f>
        <v>1.874201</v>
      </c>
      <c r="L751" s="106">
        <f>'Detailed Report'!AU747/1.14</f>
        <v>24.55263157894737</v>
      </c>
      <c r="M751" s="106">
        <f>'Detailed Report'!AU747-L751</f>
        <v>3.4373684210526285</v>
      </c>
      <c r="N751" s="110">
        <f>'Detailed Report'!AW747</f>
        <v>530.48400000000004</v>
      </c>
      <c r="O751" s="111">
        <f t="shared" si="57"/>
        <v>140.55108999999993</v>
      </c>
      <c r="P751" s="110">
        <f>'Detailed Report'!AM747</f>
        <v>0</v>
      </c>
      <c r="Q751" s="110">
        <f>'Detailed Report'!AN747</f>
        <v>0</v>
      </c>
      <c r="R751" s="110">
        <f>'Detailed Report'!AU747/1.14</f>
        <v>24.55263157894737</v>
      </c>
      <c r="S751" s="110">
        <f>'Detailed Report'!AU747-'........... - Otlob'!R751</f>
        <v>3.4373684210526285</v>
      </c>
    </row>
    <row r="752" spans="1:19" x14ac:dyDescent="0.25">
      <c r="A752" s="105">
        <f>+IF(B752="","",SUBTOTAL(3,B$8:B752))</f>
        <v>745</v>
      </c>
      <c r="B752" s="106" t="str">
        <f>'Detailed Report'!O748</f>
        <v>Fuddruckers - Concord Plaza Mall</v>
      </c>
      <c r="C752" s="107">
        <f>TRUNC('Detailed Report'!Q748,0)</f>
        <v>46047</v>
      </c>
      <c r="D752" s="108">
        <f>'Detailed Report'!P748</f>
        <v>3419356746</v>
      </c>
      <c r="E752" s="106" t="str">
        <f>'Detailed Report'!S748</f>
        <v>Successful</v>
      </c>
      <c r="F752" s="109">
        <f>IF(E752=$E$6,('Detailed Report'!Y748),IF(E752=$E$5,(0),0))</f>
        <v>352.34</v>
      </c>
      <c r="G752" s="106">
        <f>IF(E752=$E$6,('Detailed Report'!AQ748),IF(E752=$E$5,('Detailed Report'!AW748),0))</f>
        <v>309.07017999999999</v>
      </c>
      <c r="H752" s="106">
        <f>'Detailed Report'!AS748</f>
        <v>77.26755</v>
      </c>
      <c r="I752" s="106">
        <f>'Detailed Report'!AT748</f>
        <v>10.817456999999999</v>
      </c>
      <c r="J752" s="106">
        <f>'Detailed Report'!AO748</f>
        <v>6.1659499999999996</v>
      </c>
      <c r="K752" s="106">
        <f>'Detailed Report'!AP748</f>
        <v>0.86323300000000003</v>
      </c>
      <c r="L752" s="106">
        <f>'Detailed Report'!AU748/1.14</f>
        <v>29.815789473684216</v>
      </c>
      <c r="M752" s="106">
        <f>'Detailed Report'!AU748-L752</f>
        <v>4.174210526315786</v>
      </c>
      <c r="N752" s="110">
        <f>'Detailed Report'!AW748</f>
        <v>189.036</v>
      </c>
      <c r="O752" s="111">
        <f t="shared" si="57"/>
        <v>120.03417999999999</v>
      </c>
      <c r="P752" s="110">
        <f>'Detailed Report'!AM748</f>
        <v>30</v>
      </c>
      <c r="Q752" s="110">
        <f>'Detailed Report'!AN748</f>
        <v>4.2</v>
      </c>
      <c r="R752" s="110">
        <f>'Detailed Report'!AU748/1.14</f>
        <v>29.815789473684216</v>
      </c>
      <c r="S752" s="110">
        <f>'Detailed Report'!AU748-'........... - Otlob'!R752</f>
        <v>4.174210526315786</v>
      </c>
    </row>
    <row r="753" spans="1:19" x14ac:dyDescent="0.25">
      <c r="A753" s="105">
        <f>+IF(B753="","",SUBTOTAL(3,B$8:B753))</f>
        <v>746</v>
      </c>
      <c r="B753" s="106" t="str">
        <f>'Detailed Report'!O749</f>
        <v>Fuddruckers - Concord Plaza Mall</v>
      </c>
      <c r="C753" s="107">
        <f>TRUNC('Detailed Report'!Q749,0)</f>
        <v>46047</v>
      </c>
      <c r="D753" s="108">
        <f>'Detailed Report'!P749</f>
        <v>3419367122</v>
      </c>
      <c r="E753" s="106" t="str">
        <f>'Detailed Report'!S749</f>
        <v>Successful</v>
      </c>
      <c r="F753" s="109">
        <f>IF(E753=$E$6,('Detailed Report'!Y749),IF(E753=$E$5,(0),0))</f>
        <v>698.95</v>
      </c>
      <c r="G753" s="106">
        <f>IF(E753=$E$6,('Detailed Report'!AQ749),IF(E753=$E$5,('Detailed Report'!AW749),0))</f>
        <v>613.11404000000005</v>
      </c>
      <c r="H753" s="106">
        <f>'Detailed Report'!AS749</f>
        <v>153.27851000000001</v>
      </c>
      <c r="I753" s="106">
        <f>'Detailed Report'!AT749</f>
        <v>21.458991399999999</v>
      </c>
      <c r="J753" s="106">
        <f>'Detailed Report'!AO749</f>
        <v>12.231624999999999</v>
      </c>
      <c r="K753" s="106">
        <f>'Detailed Report'!AP749</f>
        <v>1.7124275</v>
      </c>
      <c r="L753" s="106">
        <f>'Detailed Report'!AU749/1.14</f>
        <v>28.938596491228076</v>
      </c>
      <c r="M753" s="106">
        <f>'Detailed Report'!AU749-L753</f>
        <v>4.0514035087719265</v>
      </c>
      <c r="N753" s="110">
        <f>'Detailed Report'!AW749</f>
        <v>477.27800000000002</v>
      </c>
      <c r="O753" s="111">
        <f t="shared" si="57"/>
        <v>135.83604000000003</v>
      </c>
      <c r="P753" s="110">
        <f>'Detailed Report'!AM749</f>
        <v>0</v>
      </c>
      <c r="Q753" s="110">
        <f>'Detailed Report'!AN749</f>
        <v>0</v>
      </c>
      <c r="R753" s="110">
        <f>'Detailed Report'!AU749/1.14</f>
        <v>28.938596491228076</v>
      </c>
      <c r="S753" s="110">
        <f>'Detailed Report'!AU749-'........... - Otlob'!R753</f>
        <v>4.0514035087719265</v>
      </c>
    </row>
    <row r="754" spans="1:19" x14ac:dyDescent="0.25">
      <c r="A754" s="105">
        <f>+IF(B754="","",SUBTOTAL(3,B$8:B754))</f>
        <v>747</v>
      </c>
      <c r="B754" s="106" t="str">
        <f>'Detailed Report'!O750</f>
        <v>Fuddruckers - Concord Plaza Mall</v>
      </c>
      <c r="C754" s="107">
        <f>TRUNC('Detailed Report'!Q750,0)</f>
        <v>46047</v>
      </c>
      <c r="D754" s="108">
        <f>'Detailed Report'!P750</f>
        <v>3419483229</v>
      </c>
      <c r="E754" s="106" t="str">
        <f>'Detailed Report'!S750</f>
        <v>Successful</v>
      </c>
      <c r="F754" s="109">
        <f>IF(E754=$E$6,('Detailed Report'!Y750),IF(E754=$E$5,(0),0))</f>
        <v>639.98</v>
      </c>
      <c r="G754" s="106">
        <f>IF(E754=$E$6,('Detailed Report'!AQ750),IF(E754=$E$5,('Detailed Report'!AW750),0))</f>
        <v>561.38595999999995</v>
      </c>
      <c r="H754" s="106">
        <f>'Detailed Report'!AS750</f>
        <v>140.34648999999999</v>
      </c>
      <c r="I754" s="106">
        <f>'Detailed Report'!AT750</f>
        <v>19.6485086</v>
      </c>
      <c r="J754" s="106">
        <f>'Detailed Report'!AO750</f>
        <v>11.19965</v>
      </c>
      <c r="K754" s="106">
        <f>'Detailed Report'!AP750</f>
        <v>1.5679510000000001</v>
      </c>
      <c r="L754" s="106">
        <f>'Detailed Report'!AU750/1.14</f>
        <v>27.184210526315791</v>
      </c>
      <c r="M754" s="106">
        <f>'Detailed Report'!AU750-L754</f>
        <v>3.8057894736842073</v>
      </c>
      <c r="N754" s="110">
        <f>'Detailed Report'!AW750</f>
        <v>436.22699999999998</v>
      </c>
      <c r="O754" s="111">
        <f t="shared" si="57"/>
        <v>125.15895999999998</v>
      </c>
      <c r="P754" s="110">
        <f>'Detailed Report'!AM750</f>
        <v>0</v>
      </c>
      <c r="Q754" s="110">
        <f>'Detailed Report'!AN750</f>
        <v>0</v>
      </c>
      <c r="R754" s="110">
        <f>'Detailed Report'!AU750/1.14</f>
        <v>27.184210526315791</v>
      </c>
      <c r="S754" s="110">
        <f>'Detailed Report'!AU750-'........... - Otlob'!R754</f>
        <v>3.8057894736842073</v>
      </c>
    </row>
    <row r="755" spans="1:19" x14ac:dyDescent="0.25">
      <c r="A755" s="105">
        <f>+IF(B755="","",SUBTOTAL(3,B$8:B755))</f>
        <v>748</v>
      </c>
      <c r="B755" s="106" t="str">
        <f>'Detailed Report'!O751</f>
        <v>Fuddruckers - City Stars</v>
      </c>
      <c r="C755" s="107">
        <f>TRUNC('Detailed Report'!Q751,0)</f>
        <v>46047</v>
      </c>
      <c r="D755" s="108">
        <f>'Detailed Report'!P751</f>
        <v>3419516002</v>
      </c>
      <c r="E755" s="106" t="str">
        <f>'Detailed Report'!S751</f>
        <v>Successful</v>
      </c>
      <c r="F755" s="109">
        <f>IF(E755=$E$6,('Detailed Report'!Y751),IF(E755=$E$5,(0),0))</f>
        <v>620.99</v>
      </c>
      <c r="G755" s="106">
        <f>IF(E755=$E$6,('Detailed Report'!AQ751),IF(E755=$E$5,('Detailed Report'!AW751),0))</f>
        <v>544.72807</v>
      </c>
      <c r="H755" s="106">
        <f>'Detailed Report'!AS751</f>
        <v>136.18201999999999</v>
      </c>
      <c r="I755" s="106">
        <f>'Detailed Report'!AT751</f>
        <v>19.065482800000002</v>
      </c>
      <c r="J755" s="106">
        <f>'Detailed Report'!AO751</f>
        <v>10.867324999999999</v>
      </c>
      <c r="K755" s="106">
        <f>'Detailed Report'!AP751</f>
        <v>1.5214255000000001</v>
      </c>
      <c r="L755" s="106">
        <f>'Detailed Report'!AU751/1.14</f>
        <v>0</v>
      </c>
      <c r="M755" s="106">
        <f>'Detailed Report'!AU751-L755</f>
        <v>0</v>
      </c>
      <c r="N755" s="110">
        <f>'Detailed Report'!AW751</f>
        <v>419.154</v>
      </c>
      <c r="O755" s="111">
        <f t="shared" si="57"/>
        <v>125.57407000000001</v>
      </c>
      <c r="P755" s="110">
        <f>'Detailed Report'!AM751</f>
        <v>30</v>
      </c>
      <c r="Q755" s="110">
        <f>'Detailed Report'!AN751</f>
        <v>4.2</v>
      </c>
      <c r="R755" s="110">
        <f>'Detailed Report'!AU751/1.14</f>
        <v>0</v>
      </c>
      <c r="S755" s="110">
        <f>'Detailed Report'!AU751-'........... - Otlob'!R755</f>
        <v>0</v>
      </c>
    </row>
    <row r="756" spans="1:19" x14ac:dyDescent="0.25">
      <c r="A756" s="105">
        <f>+IF(B756="","",SUBTOTAL(3,B$8:B756))</f>
        <v>749</v>
      </c>
      <c r="B756" s="106" t="str">
        <f>'Detailed Report'!O752</f>
        <v>Fuddruckers - City Stars</v>
      </c>
      <c r="C756" s="107">
        <f>TRUNC('Detailed Report'!Q752,0)</f>
        <v>46047</v>
      </c>
      <c r="D756" s="108">
        <f>'Detailed Report'!P752</f>
        <v>3419571355</v>
      </c>
      <c r="E756" s="106" t="str">
        <f>'Detailed Report'!S752</f>
        <v>Successful</v>
      </c>
      <c r="F756" s="109">
        <f>IF(E756=$E$6,('Detailed Report'!Y752),IF(E756=$E$5,(0),0))</f>
        <v>528.99</v>
      </c>
      <c r="G756" s="106">
        <f>IF(E756=$E$6,('Detailed Report'!AQ752),IF(E756=$E$5,('Detailed Report'!AW752),0))</f>
        <v>464.02632</v>
      </c>
      <c r="H756" s="106">
        <f>'Detailed Report'!AS752</f>
        <v>116.00658</v>
      </c>
      <c r="I756" s="106">
        <f>'Detailed Report'!AT752</f>
        <v>16.240921199999999</v>
      </c>
      <c r="J756" s="106">
        <f>'Detailed Report'!AO752</f>
        <v>9.2573249999999998</v>
      </c>
      <c r="K756" s="106">
        <f>'Detailed Report'!AP752</f>
        <v>1.2960255000000001</v>
      </c>
      <c r="L756" s="106">
        <f>'Detailed Report'!AU752/1.14</f>
        <v>23.67543859649123</v>
      </c>
      <c r="M756" s="106">
        <f>'Detailed Report'!AU752-L756</f>
        <v>3.3145614035087689</v>
      </c>
      <c r="N756" s="110">
        <f>'Detailed Report'!AW752</f>
        <v>359.19900000000001</v>
      </c>
      <c r="O756" s="111">
        <f t="shared" si="57"/>
        <v>104.82731999999999</v>
      </c>
      <c r="P756" s="110">
        <f>'Detailed Report'!AM752</f>
        <v>0</v>
      </c>
      <c r="Q756" s="110">
        <f>'Detailed Report'!AN752</f>
        <v>0</v>
      </c>
      <c r="R756" s="110">
        <f>'Detailed Report'!AU752/1.14</f>
        <v>23.67543859649123</v>
      </c>
      <c r="S756" s="110">
        <f>'Detailed Report'!AU752-'........... - Otlob'!R756</f>
        <v>3.3145614035087689</v>
      </c>
    </row>
    <row r="757" spans="1:19" x14ac:dyDescent="0.25">
      <c r="A757" s="105">
        <f>+IF(B757="","",SUBTOTAL(3,B$8:B757))</f>
        <v>750</v>
      </c>
      <c r="B757" s="106" t="str">
        <f>'Detailed Report'!O753</f>
        <v>Fuddruckers - Concord Plaza Mall</v>
      </c>
      <c r="C757" s="107">
        <f>TRUNC('Detailed Report'!Q753,0)</f>
        <v>46047</v>
      </c>
      <c r="D757" s="108">
        <f>'Detailed Report'!P753</f>
        <v>3419588730</v>
      </c>
      <c r="E757" s="106" t="str">
        <f>'Detailed Report'!S753</f>
        <v>Successful</v>
      </c>
      <c r="F757" s="109">
        <f>IF(E757=$E$6,('Detailed Report'!Y753),IF(E757=$E$5,(0),0))</f>
        <v>209.99</v>
      </c>
      <c r="G757" s="106">
        <f>IF(E757=$E$6,('Detailed Report'!AQ753),IF(E757=$E$5,('Detailed Report'!AW753),0))</f>
        <v>184.20175</v>
      </c>
      <c r="H757" s="106">
        <f>'Detailed Report'!AS753</f>
        <v>46.050440000000002</v>
      </c>
      <c r="I757" s="106">
        <f>'Detailed Report'!AT753</f>
        <v>6.4470615999999996</v>
      </c>
      <c r="J757" s="106">
        <f>'Detailed Report'!AO753</f>
        <v>3.6748249999999998</v>
      </c>
      <c r="K757" s="106">
        <f>'Detailed Report'!AP753</f>
        <v>0.51447549999999997</v>
      </c>
      <c r="L757" s="106">
        <f>'Detailed Report'!AU753/1.14</f>
        <v>28.061403508771932</v>
      </c>
      <c r="M757" s="106">
        <f>'Detailed Report'!AU753-L757</f>
        <v>3.9285964912280669</v>
      </c>
      <c r="N757" s="110">
        <f>'Detailed Report'!AW753</f>
        <v>121.313</v>
      </c>
      <c r="O757" s="111">
        <f t="shared" si="57"/>
        <v>62.888750000000002</v>
      </c>
      <c r="P757" s="110">
        <f>'Detailed Report'!AM753</f>
        <v>0</v>
      </c>
      <c r="Q757" s="110">
        <f>'Detailed Report'!AN753</f>
        <v>0</v>
      </c>
      <c r="R757" s="110">
        <f>'Detailed Report'!AU753/1.14</f>
        <v>28.061403508771932</v>
      </c>
      <c r="S757" s="110">
        <f>'Detailed Report'!AU753-'........... - Otlob'!R757</f>
        <v>3.9285964912280669</v>
      </c>
    </row>
    <row r="758" spans="1:19" x14ac:dyDescent="0.25">
      <c r="A758" s="105">
        <f>+IF(B758="","",SUBTOTAL(3,B$8:B758))</f>
        <v>751</v>
      </c>
      <c r="B758" s="106" t="str">
        <f>'Detailed Report'!O754</f>
        <v>Fuddruckers - City Stars</v>
      </c>
      <c r="C758" s="107">
        <f>TRUNC('Detailed Report'!Q754,0)</f>
        <v>46047</v>
      </c>
      <c r="D758" s="108">
        <f>'Detailed Report'!P754</f>
        <v>3419592367</v>
      </c>
      <c r="E758" s="106" t="str">
        <f>'Detailed Report'!S754</f>
        <v>Successful</v>
      </c>
      <c r="F758" s="109">
        <f>IF(E758=$E$6,('Detailed Report'!Y754),IF(E758=$E$5,(0),0))</f>
        <v>554.80999999999995</v>
      </c>
      <c r="G758" s="106">
        <f>IF(E758=$E$6,('Detailed Report'!AQ754),IF(E758=$E$5,('Detailed Report'!AW754),0))</f>
        <v>486.67543999999998</v>
      </c>
      <c r="H758" s="106">
        <f>'Detailed Report'!AS754</f>
        <v>121.66886</v>
      </c>
      <c r="I758" s="106">
        <f>'Detailed Report'!AT754</f>
        <v>17.033640399999999</v>
      </c>
      <c r="J758" s="106">
        <f>'Detailed Report'!AO754</f>
        <v>9.7091750000000001</v>
      </c>
      <c r="K758" s="106">
        <f>'Detailed Report'!AP754</f>
        <v>1.3592845</v>
      </c>
      <c r="L758" s="106">
        <f>'Detailed Report'!AU754/1.14</f>
        <v>25.42982456140351</v>
      </c>
      <c r="M758" s="106">
        <f>'Detailed Report'!AU754-L758</f>
        <v>3.5601754385964881</v>
      </c>
      <c r="N758" s="110">
        <f>'Detailed Report'!AW754</f>
        <v>341.84899999999999</v>
      </c>
      <c r="O758" s="111">
        <f t="shared" si="57"/>
        <v>144.82643999999999</v>
      </c>
      <c r="P758" s="110">
        <f>'Detailed Report'!AM754</f>
        <v>30</v>
      </c>
      <c r="Q758" s="110">
        <f>'Detailed Report'!AN754</f>
        <v>4.2</v>
      </c>
      <c r="R758" s="110">
        <f>'Detailed Report'!AU754/1.14</f>
        <v>25.42982456140351</v>
      </c>
      <c r="S758" s="110">
        <f>'Detailed Report'!AU754-'........... - Otlob'!R758</f>
        <v>3.5601754385964881</v>
      </c>
    </row>
    <row r="759" spans="1:19" x14ac:dyDescent="0.25">
      <c r="A759" s="105">
        <f>+IF(B759="","",SUBTOTAL(3,B$8:B759))</f>
        <v>752</v>
      </c>
      <c r="B759" s="106" t="str">
        <f>'Detailed Report'!O755</f>
        <v>Fuddruckers - New Maadi</v>
      </c>
      <c r="C759" s="107">
        <f>TRUNC('Detailed Report'!Q755,0)</f>
        <v>46047</v>
      </c>
      <c r="D759" s="108">
        <f>'Detailed Report'!P755</f>
        <v>3419621767</v>
      </c>
      <c r="E759" s="106" t="str">
        <f>'Detailed Report'!S755</f>
        <v>Successful</v>
      </c>
      <c r="F759" s="109">
        <f>IF(E759=$E$6,('Detailed Report'!Y755),IF(E759=$E$5,(0),0))</f>
        <v>419.99</v>
      </c>
      <c r="G759" s="106">
        <f>IF(E759=$E$6,('Detailed Report'!AQ755),IF(E759=$E$5,('Detailed Report'!AW755),0))</f>
        <v>368.41228000000001</v>
      </c>
      <c r="H759" s="106">
        <f>'Detailed Report'!AS755</f>
        <v>92.103070000000002</v>
      </c>
      <c r="I759" s="106">
        <f>'Detailed Report'!AT755</f>
        <v>12.894429799999999</v>
      </c>
      <c r="J759" s="106">
        <f>'Detailed Report'!AO755</f>
        <v>0</v>
      </c>
      <c r="K759" s="106">
        <f>'Detailed Report'!AP755</f>
        <v>0</v>
      </c>
      <c r="L759" s="106">
        <f>'Detailed Report'!AU755/1.14</f>
        <v>25.42982456140351</v>
      </c>
      <c r="M759" s="106">
        <f>'Detailed Report'!AU755-L759</f>
        <v>3.5601754385964881</v>
      </c>
      <c r="N759" s="110">
        <f>'Detailed Report'!AW755</f>
        <v>286.00299999999999</v>
      </c>
      <c r="O759" s="111">
        <f t="shared" si="57"/>
        <v>82.409280000000024</v>
      </c>
      <c r="P759" s="110">
        <f>'Detailed Report'!AM755</f>
        <v>0</v>
      </c>
      <c r="Q759" s="110">
        <f>'Detailed Report'!AN755</f>
        <v>0</v>
      </c>
      <c r="R759" s="110">
        <f>'Detailed Report'!AU755/1.14</f>
        <v>25.42982456140351</v>
      </c>
      <c r="S759" s="110">
        <f>'Detailed Report'!AU755-'........... - Otlob'!R759</f>
        <v>3.5601754385964881</v>
      </c>
    </row>
    <row r="760" spans="1:19" x14ac:dyDescent="0.25">
      <c r="A760" s="105">
        <f>+IF(B760="","",SUBTOTAL(3,B$8:B760))</f>
        <v>753</v>
      </c>
      <c r="B760" s="106" t="str">
        <f>'Detailed Report'!O756</f>
        <v>Fuddruckers - Concord Plaza Mall</v>
      </c>
      <c r="C760" s="107">
        <f>TRUNC('Detailed Report'!Q756,0)</f>
        <v>46047</v>
      </c>
      <c r="D760" s="108">
        <f>'Detailed Report'!P756</f>
        <v>3419637568</v>
      </c>
      <c r="E760" s="106" t="str">
        <f>'Detailed Report'!S756</f>
        <v>Successful</v>
      </c>
      <c r="F760" s="109">
        <f>IF(E760=$E$6,('Detailed Report'!Y756),IF(E760=$E$5,(0),0))</f>
        <v>1361.97</v>
      </c>
      <c r="G760" s="106">
        <f>IF(E760=$E$6,('Detailed Report'!AQ756),IF(E760=$E$5,('Detailed Report'!AW756),0))</f>
        <v>1194.7105300000001</v>
      </c>
      <c r="H760" s="106">
        <f>'Detailed Report'!AS756</f>
        <v>298.67763000000002</v>
      </c>
      <c r="I760" s="106">
        <f>'Detailed Report'!AT756</f>
        <v>41.814868199999999</v>
      </c>
      <c r="J760" s="106">
        <f>'Detailed Report'!AO756</f>
        <v>23.834475000000001</v>
      </c>
      <c r="K760" s="106">
        <f>'Detailed Report'!AP756</f>
        <v>3.3368264999999999</v>
      </c>
      <c r="L760" s="106">
        <f>'Detailed Report'!AU756/1.14</f>
        <v>0</v>
      </c>
      <c r="M760" s="106">
        <f>'Detailed Report'!AU756-L760</f>
        <v>0</v>
      </c>
      <c r="N760" s="110">
        <f>'Detailed Report'!AW756</f>
        <v>994.30600000000004</v>
      </c>
      <c r="O760" s="111">
        <f t="shared" si="57"/>
        <v>200.40453000000002</v>
      </c>
      <c r="P760" s="110">
        <f>'Detailed Report'!AM756</f>
        <v>0</v>
      </c>
      <c r="Q760" s="110">
        <f>'Detailed Report'!AN756</f>
        <v>0</v>
      </c>
      <c r="R760" s="110">
        <f>'Detailed Report'!AU756/1.14</f>
        <v>0</v>
      </c>
      <c r="S760" s="110">
        <f>'Detailed Report'!AU756-'........... - Otlob'!R760</f>
        <v>0</v>
      </c>
    </row>
    <row r="761" spans="1:19" x14ac:dyDescent="0.25">
      <c r="A761" s="105">
        <f>+IF(B761="","",SUBTOTAL(3,B$8:B761))</f>
        <v>754</v>
      </c>
      <c r="B761" s="106" t="str">
        <f>'Detailed Report'!O757</f>
        <v>Fuddruckers - City Stars</v>
      </c>
      <c r="C761" s="107">
        <f>TRUNC('Detailed Report'!Q757,0)</f>
        <v>46047</v>
      </c>
      <c r="D761" s="108">
        <f>'Detailed Report'!P757</f>
        <v>3419658764</v>
      </c>
      <c r="E761" s="106" t="str">
        <f>'Detailed Report'!S757</f>
        <v>Successful</v>
      </c>
      <c r="F761" s="109">
        <f>IF(E761=$E$6,('Detailed Report'!Y757),IF(E761=$E$5,(0),0))</f>
        <v>385.99</v>
      </c>
      <c r="G761" s="106">
        <f>IF(E761=$E$6,('Detailed Report'!AQ757),IF(E761=$E$5,('Detailed Report'!AW757),0))</f>
        <v>338.58771999999999</v>
      </c>
      <c r="H761" s="106">
        <f>'Detailed Report'!AS757</f>
        <v>84.646929999999998</v>
      </c>
      <c r="I761" s="106">
        <f>'Detailed Report'!AT757</f>
        <v>11.8505702</v>
      </c>
      <c r="J761" s="106">
        <f>'Detailed Report'!AO757</f>
        <v>0</v>
      </c>
      <c r="K761" s="106">
        <f>'Detailed Report'!AP757</f>
        <v>0</v>
      </c>
      <c r="L761" s="106">
        <f>'Detailed Report'!AU757/1.14</f>
        <v>0</v>
      </c>
      <c r="M761" s="106">
        <f>'Detailed Report'!AU757-L761</f>
        <v>0</v>
      </c>
      <c r="N761" s="110">
        <f>'Detailed Report'!AW757</f>
        <v>289.49200000000002</v>
      </c>
      <c r="O761" s="111">
        <f t="shared" si="57"/>
        <v>49.095719999999972</v>
      </c>
      <c r="P761" s="110">
        <f>'Detailed Report'!AM757</f>
        <v>0</v>
      </c>
      <c r="Q761" s="110">
        <f>'Detailed Report'!AN757</f>
        <v>0</v>
      </c>
      <c r="R761" s="110">
        <f>'Detailed Report'!AU757/1.14</f>
        <v>0</v>
      </c>
      <c r="S761" s="110">
        <f>'Detailed Report'!AU757-'........... - Otlob'!R761</f>
        <v>0</v>
      </c>
    </row>
    <row r="762" spans="1:19" x14ac:dyDescent="0.25">
      <c r="A762" s="105">
        <f>+IF(B762="","",SUBTOTAL(3,B$8:B762))</f>
        <v>755</v>
      </c>
      <c r="B762" s="106" t="str">
        <f>'Detailed Report'!O758</f>
        <v>Fuddruckers - City Stars</v>
      </c>
      <c r="C762" s="107">
        <f>TRUNC('Detailed Report'!Q758,0)</f>
        <v>46047</v>
      </c>
      <c r="D762" s="108">
        <f>'Detailed Report'!P758</f>
        <v>3419750216</v>
      </c>
      <c r="E762" s="106" t="str">
        <f>'Detailed Report'!S758</f>
        <v>Successful</v>
      </c>
      <c r="F762" s="109">
        <f>IF(E762=$E$6,('Detailed Report'!Y758),IF(E762=$E$5,(0),0))</f>
        <v>400.71</v>
      </c>
      <c r="G762" s="106">
        <f>IF(E762=$E$6,('Detailed Report'!AQ758),IF(E762=$E$5,('Detailed Report'!AW758),0))</f>
        <v>351.5</v>
      </c>
      <c r="H762" s="106">
        <f>'Detailed Report'!AS758</f>
        <v>87.875</v>
      </c>
      <c r="I762" s="106">
        <f>'Detailed Report'!AT758</f>
        <v>12.3025</v>
      </c>
      <c r="J762" s="106">
        <f>'Detailed Report'!AO758</f>
        <v>7.0124250000000004</v>
      </c>
      <c r="K762" s="106">
        <f>'Detailed Report'!AP758</f>
        <v>0.98173949999999999</v>
      </c>
      <c r="L762" s="106">
        <f>'Detailed Report'!AU758/1.14</f>
        <v>23.67543859649123</v>
      </c>
      <c r="M762" s="106">
        <f>'Detailed Report'!AU758-L762</f>
        <v>3.3145614035087689</v>
      </c>
      <c r="N762" s="110">
        <f>'Detailed Report'!AW758</f>
        <v>265.548</v>
      </c>
      <c r="O762" s="111">
        <f t="shared" si="57"/>
        <v>85.951999999999998</v>
      </c>
      <c r="P762" s="110">
        <f>'Detailed Report'!AM758</f>
        <v>0</v>
      </c>
      <c r="Q762" s="110">
        <f>'Detailed Report'!AN758</f>
        <v>0</v>
      </c>
      <c r="R762" s="110">
        <f>'Detailed Report'!AU758/1.14</f>
        <v>23.67543859649123</v>
      </c>
      <c r="S762" s="110">
        <f>'Detailed Report'!AU758-'........... - Otlob'!R762</f>
        <v>3.3145614035087689</v>
      </c>
    </row>
    <row r="763" spans="1:19" x14ac:dyDescent="0.25">
      <c r="A763" s="105">
        <f>+IF(B763="","",SUBTOTAL(3,B$8:B763))</f>
        <v>756</v>
      </c>
      <c r="B763" s="106" t="str">
        <f>'Detailed Report'!O759</f>
        <v>Fuddruckers - New Maadi</v>
      </c>
      <c r="C763" s="107">
        <f>TRUNC('Detailed Report'!Q759,0)</f>
        <v>46047</v>
      </c>
      <c r="D763" s="108">
        <f>'Detailed Report'!P759</f>
        <v>3419767373</v>
      </c>
      <c r="E763" s="106" t="str">
        <f>'Detailed Report'!S759</f>
        <v>Successful</v>
      </c>
      <c r="F763" s="109">
        <f>IF(E763=$E$6,('Detailed Report'!Y759),IF(E763=$E$5,(0),0))</f>
        <v>379.98</v>
      </c>
      <c r="G763" s="106">
        <f>IF(E763=$E$6,('Detailed Report'!AQ759),IF(E763=$E$5,('Detailed Report'!AW759),0))</f>
        <v>333.31578999999999</v>
      </c>
      <c r="H763" s="106">
        <f>'Detailed Report'!AS759</f>
        <v>83.328950000000006</v>
      </c>
      <c r="I763" s="106">
        <f>'Detailed Report'!AT759</f>
        <v>11.666053</v>
      </c>
      <c r="J763" s="106">
        <f>'Detailed Report'!AO759</f>
        <v>0</v>
      </c>
      <c r="K763" s="106">
        <f>'Detailed Report'!AP759</f>
        <v>0</v>
      </c>
      <c r="L763" s="106">
        <f>'Detailed Report'!AU759/1.14</f>
        <v>0</v>
      </c>
      <c r="M763" s="106">
        <f>'Detailed Report'!AU759-L763</f>
        <v>0</v>
      </c>
      <c r="N763" s="110">
        <f>'Detailed Report'!AW759</f>
        <v>284.98500000000001</v>
      </c>
      <c r="O763" s="111">
        <f t="shared" si="57"/>
        <v>48.330789999999979</v>
      </c>
      <c r="P763" s="110">
        <f>'Detailed Report'!AM759</f>
        <v>0</v>
      </c>
      <c r="Q763" s="110">
        <f>'Detailed Report'!AN759</f>
        <v>0</v>
      </c>
      <c r="R763" s="110">
        <f>'Detailed Report'!AU759/1.14</f>
        <v>0</v>
      </c>
      <c r="S763" s="110">
        <f>'Detailed Report'!AU759-'........... - Otlob'!R763</f>
        <v>0</v>
      </c>
    </row>
    <row r="764" spans="1:19" x14ac:dyDescent="0.25">
      <c r="A764" s="105">
        <f>+IF(B764="","",SUBTOTAL(3,B$8:B764))</f>
        <v>757</v>
      </c>
      <c r="B764" s="106" t="str">
        <f>'Detailed Report'!O760</f>
        <v>Fuddruckers - Concord Plaza Mall</v>
      </c>
      <c r="C764" s="107">
        <f>TRUNC('Detailed Report'!Q760,0)</f>
        <v>46047</v>
      </c>
      <c r="D764" s="108">
        <f>'Detailed Report'!P760</f>
        <v>3419769912</v>
      </c>
      <c r="E764" s="106" t="str">
        <f>'Detailed Report'!S760</f>
        <v>Successful</v>
      </c>
      <c r="F764" s="109">
        <f>IF(E764=$E$6,('Detailed Report'!Y760),IF(E764=$E$5,(0),0))</f>
        <v>319</v>
      </c>
      <c r="G764" s="106">
        <f>IF(E764=$E$6,('Detailed Report'!AQ760),IF(E764=$E$5,('Detailed Report'!AW760),0))</f>
        <v>279.82456000000002</v>
      </c>
      <c r="H764" s="106">
        <f>'Detailed Report'!AS760</f>
        <v>69.956140000000005</v>
      </c>
      <c r="I764" s="106">
        <f>'Detailed Report'!AT760</f>
        <v>9.7938595999999993</v>
      </c>
      <c r="J764" s="106">
        <f>'Detailed Report'!AO760</f>
        <v>5.5824999999999996</v>
      </c>
      <c r="K764" s="106">
        <f>'Detailed Report'!AP760</f>
        <v>0.78154999999999997</v>
      </c>
      <c r="L764" s="106">
        <f>'Detailed Report'!AU760/1.14</f>
        <v>27.184210526315791</v>
      </c>
      <c r="M764" s="106">
        <f>'Detailed Report'!AU760-L764</f>
        <v>3.8057894736842073</v>
      </c>
      <c r="N764" s="110">
        <f>'Detailed Report'!AW760</f>
        <v>201.89599999999999</v>
      </c>
      <c r="O764" s="111">
        <f t="shared" si="57"/>
        <v>77.928560000000033</v>
      </c>
      <c r="P764" s="110">
        <f>'Detailed Report'!AM760</f>
        <v>0</v>
      </c>
      <c r="Q764" s="110">
        <f>'Detailed Report'!AN760</f>
        <v>0</v>
      </c>
      <c r="R764" s="110">
        <f>'Detailed Report'!AU760/1.14</f>
        <v>27.184210526315791</v>
      </c>
      <c r="S764" s="110">
        <f>'Detailed Report'!AU760-'........... - Otlob'!R764</f>
        <v>3.8057894736842073</v>
      </c>
    </row>
    <row r="765" spans="1:19" x14ac:dyDescent="0.25">
      <c r="A765" s="105">
        <f>+IF(B765="","",SUBTOTAL(3,B$8:B765))</f>
        <v>758</v>
      </c>
      <c r="B765" s="106" t="str">
        <f>'Detailed Report'!O761</f>
        <v>Fuddruckers - Concord Plaza Mall</v>
      </c>
      <c r="C765" s="107">
        <f>TRUNC('Detailed Report'!Q761,0)</f>
        <v>46047</v>
      </c>
      <c r="D765" s="108">
        <f>'Detailed Report'!P761</f>
        <v>3419772724</v>
      </c>
      <c r="E765" s="106" t="str">
        <f>'Detailed Report'!S761</f>
        <v>Successful</v>
      </c>
      <c r="F765" s="109">
        <f>IF(E765=$E$6,('Detailed Report'!Y761),IF(E765=$E$5,(0),0))</f>
        <v>1271.97</v>
      </c>
      <c r="G765" s="106">
        <f>IF(E765=$E$6,('Detailed Report'!AQ761),IF(E765=$E$5,('Detailed Report'!AW761),0))</f>
        <v>1115.76316</v>
      </c>
      <c r="H765" s="106">
        <f>'Detailed Report'!AS761</f>
        <v>278.94078999999999</v>
      </c>
      <c r="I765" s="106">
        <f>'Detailed Report'!AT761</f>
        <v>39.0517106</v>
      </c>
      <c r="J765" s="106">
        <f>'Detailed Report'!AO761</f>
        <v>0</v>
      </c>
      <c r="K765" s="106">
        <f>'Detailed Report'!AP761</f>
        <v>0</v>
      </c>
      <c r="L765" s="106">
        <f>'Detailed Report'!AU761/1.14</f>
        <v>0</v>
      </c>
      <c r="M765" s="106">
        <f>'Detailed Report'!AU761-L765</f>
        <v>0</v>
      </c>
      <c r="N765" s="110">
        <f>'Detailed Report'!AW761</f>
        <v>953.97699999999998</v>
      </c>
      <c r="O765" s="111">
        <f t="shared" si="57"/>
        <v>161.78616</v>
      </c>
      <c r="P765" s="110">
        <f>'Detailed Report'!AM761</f>
        <v>0</v>
      </c>
      <c r="Q765" s="110">
        <f>'Detailed Report'!AN761</f>
        <v>0</v>
      </c>
      <c r="R765" s="110">
        <f>'Detailed Report'!AU761/1.14</f>
        <v>0</v>
      </c>
      <c r="S765" s="110">
        <f>'Detailed Report'!AU761-'........... - Otlob'!R765</f>
        <v>0</v>
      </c>
    </row>
    <row r="766" spans="1:19" x14ac:dyDescent="0.25">
      <c r="A766" s="105">
        <f>+IF(B766="","",SUBTOTAL(3,B$8:B766))</f>
        <v>759</v>
      </c>
      <c r="B766" s="106" t="str">
        <f>'Detailed Report'!O762</f>
        <v>Fuddruckers - Concord Plaza Mall</v>
      </c>
      <c r="C766" s="107">
        <f>TRUNC('Detailed Report'!Q762,0)</f>
        <v>46047</v>
      </c>
      <c r="D766" s="108">
        <f>'Detailed Report'!P762</f>
        <v>3419844999</v>
      </c>
      <c r="E766" s="106" t="str">
        <f>'Detailed Report'!S762</f>
        <v>Successful</v>
      </c>
      <c r="F766" s="109">
        <f>IF(E766=$E$6,('Detailed Report'!Y762),IF(E766=$E$5,(0),0))</f>
        <v>250</v>
      </c>
      <c r="G766" s="106">
        <f>IF(E766=$E$6,('Detailed Report'!AQ762),IF(E766=$E$5,('Detailed Report'!AW762),0))</f>
        <v>219.29825</v>
      </c>
      <c r="H766" s="106">
        <f>'Detailed Report'!AS762</f>
        <v>54.824559999999998</v>
      </c>
      <c r="I766" s="106">
        <f>'Detailed Report'!AT762</f>
        <v>7.6754384</v>
      </c>
      <c r="J766" s="106">
        <f>'Detailed Report'!AO762</f>
        <v>4.375</v>
      </c>
      <c r="K766" s="106">
        <f>'Detailed Report'!AP762</f>
        <v>0.61250000000000004</v>
      </c>
      <c r="L766" s="106">
        <f>'Detailed Report'!AU762/1.14</f>
        <v>30.692982456140356</v>
      </c>
      <c r="M766" s="106">
        <f>'Detailed Report'!AU762-L766</f>
        <v>4.2970175438596456</v>
      </c>
      <c r="N766" s="110">
        <f>'Detailed Report'!AW762</f>
        <v>147.523</v>
      </c>
      <c r="O766" s="111">
        <f t="shared" si="57"/>
        <v>71.77525</v>
      </c>
      <c r="P766" s="110">
        <f>'Detailed Report'!AM762</f>
        <v>0</v>
      </c>
      <c r="Q766" s="110">
        <f>'Detailed Report'!AN762</f>
        <v>0</v>
      </c>
      <c r="R766" s="110">
        <f>'Detailed Report'!AU762/1.14</f>
        <v>30.692982456140356</v>
      </c>
      <c r="S766" s="110">
        <f>'Detailed Report'!AU762-'........... - Otlob'!R766</f>
        <v>4.2970175438596456</v>
      </c>
    </row>
    <row r="767" spans="1:19" x14ac:dyDescent="0.25">
      <c r="A767" s="105">
        <f>+IF(B767="","",SUBTOTAL(3,B$8:B767))</f>
        <v>760</v>
      </c>
      <c r="B767" s="106" t="str">
        <f>'Detailed Report'!O763</f>
        <v>Fuddruckers - Concord Plaza Mall</v>
      </c>
      <c r="C767" s="107">
        <f>TRUNC('Detailed Report'!Q763,0)</f>
        <v>46047</v>
      </c>
      <c r="D767" s="108">
        <f>'Detailed Report'!P763</f>
        <v>3419848273</v>
      </c>
      <c r="E767" s="106" t="str">
        <f>'Detailed Report'!S763</f>
        <v>Successful</v>
      </c>
      <c r="F767" s="109">
        <f>IF(E767=$E$6,('Detailed Report'!Y763),IF(E767=$E$5,(0),0))</f>
        <v>389.99</v>
      </c>
      <c r="G767" s="106">
        <f>IF(E767=$E$6,('Detailed Report'!AQ763),IF(E767=$E$5,('Detailed Report'!AW763),0))</f>
        <v>342.09649000000002</v>
      </c>
      <c r="H767" s="106">
        <f>'Detailed Report'!AS763</f>
        <v>85.524119999999996</v>
      </c>
      <c r="I767" s="106">
        <f>'Detailed Report'!AT763</f>
        <v>11.9733768</v>
      </c>
      <c r="J767" s="106">
        <f>'Detailed Report'!AO763</f>
        <v>6.8248249999999997</v>
      </c>
      <c r="K767" s="106">
        <f>'Detailed Report'!AP763</f>
        <v>0.95547550000000003</v>
      </c>
      <c r="L767" s="106">
        <f>'Detailed Report'!AU763/1.14</f>
        <v>28.938596491228076</v>
      </c>
      <c r="M767" s="106">
        <f>'Detailed Report'!AU763-L767</f>
        <v>4.0514035087719265</v>
      </c>
      <c r="N767" s="110">
        <f>'Detailed Report'!AW763</f>
        <v>251.72200000000001</v>
      </c>
      <c r="O767" s="111">
        <f t="shared" si="57"/>
        <v>90.374490000000009</v>
      </c>
      <c r="P767" s="110">
        <f>'Detailed Report'!AM763</f>
        <v>0</v>
      </c>
      <c r="Q767" s="110">
        <f>'Detailed Report'!AN763</f>
        <v>0</v>
      </c>
      <c r="R767" s="110">
        <f>'Detailed Report'!AU763/1.14</f>
        <v>28.938596491228076</v>
      </c>
      <c r="S767" s="110">
        <f>'Detailed Report'!AU763-'........... - Otlob'!R767</f>
        <v>4.0514035087719265</v>
      </c>
    </row>
    <row r="768" spans="1:19" x14ac:dyDescent="0.25">
      <c r="A768" s="105">
        <f>+IF(B768="","",SUBTOTAL(3,B$8:B768))</f>
        <v>761</v>
      </c>
      <c r="B768" s="106" t="str">
        <f>'Detailed Report'!O764</f>
        <v>Fuddruckers - Concord Plaza Mall</v>
      </c>
      <c r="C768" s="107">
        <f>TRUNC('Detailed Report'!Q764,0)</f>
        <v>46047</v>
      </c>
      <c r="D768" s="108">
        <f>'Detailed Report'!P764</f>
        <v>3419855989</v>
      </c>
      <c r="E768" s="106" t="str">
        <f>'Detailed Report'!S764</f>
        <v>Successful</v>
      </c>
      <c r="F768" s="109">
        <f>IF(E768=$E$6,('Detailed Report'!Y764),IF(E768=$E$5,(0),0))</f>
        <v>417.82</v>
      </c>
      <c r="G768" s="106">
        <f>IF(E768=$E$6,('Detailed Report'!AQ764),IF(E768=$E$5,('Detailed Report'!AW764),0))</f>
        <v>366.50877000000003</v>
      </c>
      <c r="H768" s="106">
        <f>'Detailed Report'!AS764</f>
        <v>91.627189999999999</v>
      </c>
      <c r="I768" s="106">
        <f>'Detailed Report'!AT764</f>
        <v>12.827806600000001</v>
      </c>
      <c r="J768" s="106">
        <f>'Detailed Report'!AO764</f>
        <v>7.3118499999999997</v>
      </c>
      <c r="K768" s="106">
        <f>'Detailed Report'!AP764</f>
        <v>1.0236590000000001</v>
      </c>
      <c r="L768" s="106">
        <f>'Detailed Report'!AU764/1.14</f>
        <v>0</v>
      </c>
      <c r="M768" s="106">
        <f>'Detailed Report'!AU764-L768</f>
        <v>0</v>
      </c>
      <c r="N768" s="110">
        <f>'Detailed Report'!AW764</f>
        <v>305.029</v>
      </c>
      <c r="O768" s="111">
        <f t="shared" si="57"/>
        <v>61.47977000000003</v>
      </c>
      <c r="P768" s="110">
        <f>'Detailed Report'!AM764</f>
        <v>0</v>
      </c>
      <c r="Q768" s="110">
        <f>'Detailed Report'!AN764</f>
        <v>0</v>
      </c>
      <c r="R768" s="110">
        <f>'Detailed Report'!AU764/1.14</f>
        <v>0</v>
      </c>
      <c r="S768" s="110">
        <f>'Detailed Report'!AU764-'........... - Otlob'!R768</f>
        <v>0</v>
      </c>
    </row>
    <row r="769" spans="1:19" x14ac:dyDescent="0.25">
      <c r="A769" s="105">
        <f>+IF(B769="","",SUBTOTAL(3,B$8:B769))</f>
        <v>762</v>
      </c>
      <c r="B769" s="106" t="str">
        <f>'Detailed Report'!O765</f>
        <v>Fuddruckers - City Stars</v>
      </c>
      <c r="C769" s="107">
        <f>TRUNC('Detailed Report'!Q765,0)</f>
        <v>46047</v>
      </c>
      <c r="D769" s="108">
        <f>'Detailed Report'!P765</f>
        <v>3419879296</v>
      </c>
      <c r="E769" s="106" t="str">
        <f>'Detailed Report'!S765</f>
        <v>Successful</v>
      </c>
      <c r="F769" s="109">
        <f>IF(E769=$E$6,('Detailed Report'!Y765),IF(E769=$E$5,(0),0))</f>
        <v>448.86</v>
      </c>
      <c r="G769" s="106">
        <f>IF(E769=$E$6,('Detailed Report'!AQ765),IF(E769=$E$5,('Detailed Report'!AW765),0))</f>
        <v>393.73683999999997</v>
      </c>
      <c r="H769" s="106">
        <f>'Detailed Report'!AS765</f>
        <v>98.434209999999993</v>
      </c>
      <c r="I769" s="106">
        <f>'Detailed Report'!AT765</f>
        <v>13.7807894</v>
      </c>
      <c r="J769" s="106">
        <f>'Detailed Report'!AO765</f>
        <v>7.8550500000000003</v>
      </c>
      <c r="K769" s="106">
        <f>'Detailed Report'!AP765</f>
        <v>1.099707</v>
      </c>
      <c r="L769" s="106">
        <f>'Detailed Report'!AU765/1.14</f>
        <v>25.42982456140351</v>
      </c>
      <c r="M769" s="106">
        <f>'Detailed Report'!AU765-L769</f>
        <v>3.5601754385964881</v>
      </c>
      <c r="N769" s="110">
        <f>'Detailed Report'!AW765</f>
        <v>298.7</v>
      </c>
      <c r="O769" s="111">
        <f t="shared" si="57"/>
        <v>95.036839999999984</v>
      </c>
      <c r="P769" s="110">
        <f>'Detailed Report'!AM765</f>
        <v>0</v>
      </c>
      <c r="Q769" s="110">
        <f>'Detailed Report'!AN765</f>
        <v>0</v>
      </c>
      <c r="R769" s="110">
        <f>'Detailed Report'!AU765/1.14</f>
        <v>25.42982456140351</v>
      </c>
      <c r="S769" s="110">
        <f>'Detailed Report'!AU765-'........... - Otlob'!R769</f>
        <v>3.5601754385964881</v>
      </c>
    </row>
    <row r="770" spans="1:19" x14ac:dyDescent="0.25">
      <c r="A770" s="105">
        <f>+IF(B770="","",SUBTOTAL(3,B$8:B770))</f>
        <v>763</v>
      </c>
      <c r="B770" s="106" t="str">
        <f>'Detailed Report'!O766</f>
        <v>Fuddruckers - Concord Plaza Mall</v>
      </c>
      <c r="C770" s="107">
        <f>TRUNC('Detailed Report'!Q766,0)</f>
        <v>46047</v>
      </c>
      <c r="D770" s="108">
        <f>'Detailed Report'!P766</f>
        <v>3419923990</v>
      </c>
      <c r="E770" s="106" t="str">
        <f>'Detailed Report'!S766</f>
        <v>Successful</v>
      </c>
      <c r="F770" s="109">
        <f>IF(E770=$E$6,('Detailed Report'!Y766),IF(E770=$E$5,(0),0))</f>
        <v>13.68</v>
      </c>
      <c r="G770" s="106">
        <f>IF(E770=$E$6,('Detailed Report'!AQ766),IF(E770=$E$5,('Detailed Report'!AW766),0))</f>
        <v>634.78947000000005</v>
      </c>
      <c r="H770" s="106">
        <f>'Detailed Report'!AS766</f>
        <v>158.69737000000001</v>
      </c>
      <c r="I770" s="106">
        <f>'Detailed Report'!AT766</f>
        <v>22.217631799999999</v>
      </c>
      <c r="J770" s="106">
        <f>'Detailed Report'!AO766</f>
        <v>0</v>
      </c>
      <c r="K770" s="106">
        <f>'Detailed Report'!AP766</f>
        <v>0</v>
      </c>
      <c r="L770" s="106">
        <f>'Detailed Report'!AU766/1.14</f>
        <v>0</v>
      </c>
      <c r="M770" s="106">
        <f>'Detailed Report'!AU766-L770</f>
        <v>0</v>
      </c>
      <c r="N770" s="110">
        <f>'Detailed Report'!AW766</f>
        <v>-167.23500000000001</v>
      </c>
      <c r="O770" s="111">
        <f t="shared" si="57"/>
        <v>802.02447000000006</v>
      </c>
      <c r="P770" s="110">
        <f>'Detailed Report'!AM766</f>
        <v>0</v>
      </c>
      <c r="Q770" s="110">
        <f>'Detailed Report'!AN766</f>
        <v>0</v>
      </c>
      <c r="R770" s="110">
        <f>'Detailed Report'!AU766/1.14</f>
        <v>0</v>
      </c>
      <c r="S770" s="110">
        <f>'Detailed Report'!AU766-'........... - Otlob'!R770</f>
        <v>0</v>
      </c>
    </row>
    <row r="771" spans="1:19" x14ac:dyDescent="0.25">
      <c r="A771" s="105">
        <f>+IF(B771="","",SUBTOTAL(3,B$8:B771))</f>
        <v>764</v>
      </c>
      <c r="B771" s="106" t="str">
        <f>'Detailed Report'!O767</f>
        <v>Fuddruckers - New Maadi</v>
      </c>
      <c r="C771" s="107">
        <f>TRUNC('Detailed Report'!Q767,0)</f>
        <v>46047</v>
      </c>
      <c r="D771" s="108">
        <f>'Detailed Report'!P767</f>
        <v>3419936546</v>
      </c>
      <c r="E771" s="106" t="str">
        <f>'Detailed Report'!S767</f>
        <v>Successful</v>
      </c>
      <c r="F771" s="109">
        <f>IF(E771=$E$6,('Detailed Report'!Y767),IF(E771=$E$5,(0),0))</f>
        <v>897.92</v>
      </c>
      <c r="G771" s="106">
        <f>IF(E771=$E$6,('Detailed Report'!AQ767),IF(E771=$E$5,('Detailed Report'!AW767),0))</f>
        <v>787.64912000000004</v>
      </c>
      <c r="H771" s="106">
        <f>'Detailed Report'!AS767</f>
        <v>196.91228000000001</v>
      </c>
      <c r="I771" s="106">
        <f>'Detailed Report'!AT767</f>
        <v>27.567719199999999</v>
      </c>
      <c r="J771" s="106">
        <f>'Detailed Report'!AO767</f>
        <v>0</v>
      </c>
      <c r="K771" s="106">
        <f>'Detailed Report'!AP767</f>
        <v>0</v>
      </c>
      <c r="L771" s="106">
        <f>'Detailed Report'!AU767/1.14</f>
        <v>24.55263157894737</v>
      </c>
      <c r="M771" s="106">
        <f>'Detailed Report'!AU767-L771</f>
        <v>3.4373684210526285</v>
      </c>
      <c r="N771" s="110">
        <f>'Detailed Report'!AW767</f>
        <v>645.45000000000005</v>
      </c>
      <c r="O771" s="111">
        <f t="shared" si="57"/>
        <v>142.19911999999999</v>
      </c>
      <c r="P771" s="110">
        <f>'Detailed Report'!AM767</f>
        <v>0</v>
      </c>
      <c r="Q771" s="110">
        <f>'Detailed Report'!AN767</f>
        <v>0</v>
      </c>
      <c r="R771" s="110">
        <f>'Detailed Report'!AU767/1.14</f>
        <v>24.55263157894737</v>
      </c>
      <c r="S771" s="110">
        <f>'Detailed Report'!AU767-'........... - Otlob'!R771</f>
        <v>3.4373684210526285</v>
      </c>
    </row>
    <row r="772" spans="1:19" x14ac:dyDescent="0.25">
      <c r="A772" s="105">
        <f>+IF(B772="","",SUBTOTAL(3,B$8:B772))</f>
        <v>765</v>
      </c>
      <c r="B772" s="106" t="str">
        <f>'Detailed Report'!O768</f>
        <v>Fuddruckers - Concord Plaza Mall</v>
      </c>
      <c r="C772" s="107">
        <f>TRUNC('Detailed Report'!Q768,0)</f>
        <v>46047</v>
      </c>
      <c r="D772" s="108">
        <f>'Detailed Report'!P768</f>
        <v>3419941394</v>
      </c>
      <c r="E772" s="106" t="str">
        <f>'Detailed Report'!S768</f>
        <v>Successful</v>
      </c>
      <c r="F772" s="109">
        <f>IF(E772=$E$6,('Detailed Report'!Y768),IF(E772=$E$5,(0),0))</f>
        <v>389.99</v>
      </c>
      <c r="G772" s="106">
        <f>IF(E772=$E$6,('Detailed Report'!AQ768),IF(E772=$E$5,('Detailed Report'!AW768),0))</f>
        <v>342.09649000000002</v>
      </c>
      <c r="H772" s="106">
        <f>'Detailed Report'!AS768</f>
        <v>85.524119999999996</v>
      </c>
      <c r="I772" s="106">
        <f>'Detailed Report'!AT768</f>
        <v>11.9733768</v>
      </c>
      <c r="J772" s="106">
        <f>'Detailed Report'!AO768</f>
        <v>6.8248249999999997</v>
      </c>
      <c r="K772" s="106">
        <f>'Detailed Report'!AP768</f>
        <v>0.95547550000000003</v>
      </c>
      <c r="L772" s="106">
        <f>'Detailed Report'!AU768/1.14</f>
        <v>0</v>
      </c>
      <c r="M772" s="106">
        <f>'Detailed Report'!AU768-L772</f>
        <v>0</v>
      </c>
      <c r="N772" s="110">
        <f>'Detailed Report'!AW768</f>
        <v>284.71199999999999</v>
      </c>
      <c r="O772" s="111">
        <f t="shared" si="57"/>
        <v>57.384490000000028</v>
      </c>
      <c r="P772" s="110">
        <f>'Detailed Report'!AM768</f>
        <v>0</v>
      </c>
      <c r="Q772" s="110">
        <f>'Detailed Report'!AN768</f>
        <v>0</v>
      </c>
      <c r="R772" s="110">
        <f>'Detailed Report'!AU768/1.14</f>
        <v>0</v>
      </c>
      <c r="S772" s="110">
        <f>'Detailed Report'!AU768-'........... - Otlob'!R772</f>
        <v>0</v>
      </c>
    </row>
    <row r="773" spans="1:19" x14ac:dyDescent="0.25">
      <c r="A773" s="105">
        <f>+IF(B773="","",SUBTOTAL(3,B$8:B773))</f>
        <v>766</v>
      </c>
      <c r="B773" s="106" t="str">
        <f>'Detailed Report'!O769</f>
        <v>Fuddruckers - Concord Plaza Mall</v>
      </c>
      <c r="C773" s="107">
        <f>TRUNC('Detailed Report'!Q769,0)</f>
        <v>46047</v>
      </c>
      <c r="D773" s="108">
        <f>'Detailed Report'!P769</f>
        <v>3420029186</v>
      </c>
      <c r="E773" s="106" t="str">
        <f>'Detailed Report'!S769</f>
        <v>Successful</v>
      </c>
      <c r="F773" s="109">
        <f>IF(E773=$E$6,('Detailed Report'!Y769),IF(E773=$E$5,(0),0))</f>
        <v>529.98</v>
      </c>
      <c r="G773" s="106">
        <f>IF(E773=$E$6,('Detailed Report'!AQ769),IF(E773=$E$5,('Detailed Report'!AW769),0))</f>
        <v>464.89474000000001</v>
      </c>
      <c r="H773" s="106">
        <f>'Detailed Report'!AS769</f>
        <v>116.22369</v>
      </c>
      <c r="I773" s="106">
        <f>'Detailed Report'!AT769</f>
        <v>16.271316599999999</v>
      </c>
      <c r="J773" s="106">
        <f>'Detailed Report'!AO769</f>
        <v>9.2746499999999994</v>
      </c>
      <c r="K773" s="106">
        <f>'Detailed Report'!AP769</f>
        <v>1.298451</v>
      </c>
      <c r="L773" s="106">
        <f>'Detailed Report'!AU769/1.14</f>
        <v>28.938596491228076</v>
      </c>
      <c r="M773" s="106">
        <f>'Detailed Report'!AU769-L773</f>
        <v>4.0514035087719265</v>
      </c>
      <c r="N773" s="110">
        <f>'Detailed Report'!AW769</f>
        <v>353.92200000000003</v>
      </c>
      <c r="O773" s="111">
        <f t="shared" si="57"/>
        <v>110.97273999999999</v>
      </c>
      <c r="P773" s="110">
        <f>'Detailed Report'!AM769</f>
        <v>0</v>
      </c>
      <c r="Q773" s="110">
        <f>'Detailed Report'!AN769</f>
        <v>0</v>
      </c>
      <c r="R773" s="110">
        <f>'Detailed Report'!AU769/1.14</f>
        <v>28.938596491228076</v>
      </c>
      <c r="S773" s="110">
        <f>'Detailed Report'!AU769-'........... - Otlob'!R773</f>
        <v>4.0514035087719265</v>
      </c>
    </row>
    <row r="774" spans="1:19" x14ac:dyDescent="0.25">
      <c r="A774" s="105">
        <f>+IF(B774="","",SUBTOTAL(3,B$8:B774))</f>
        <v>767</v>
      </c>
      <c r="B774" s="106" t="str">
        <f>'Detailed Report'!O770</f>
        <v>Fuddruckers - New Maadi</v>
      </c>
      <c r="C774" s="107">
        <f>TRUNC('Detailed Report'!Q770,0)</f>
        <v>46048</v>
      </c>
      <c r="D774" s="108">
        <f>'Detailed Report'!P770</f>
        <v>3420552259</v>
      </c>
      <c r="E774" s="106" t="str">
        <f>'Detailed Report'!S770</f>
        <v>Successful</v>
      </c>
      <c r="F774" s="109">
        <f>IF(E774=$E$6,('Detailed Report'!Y770),IF(E774=$E$5,(0),0))</f>
        <v>844</v>
      </c>
      <c r="G774" s="106">
        <f>IF(E774=$E$6,('Detailed Report'!AQ770),IF(E774=$E$5,('Detailed Report'!AW770),0))</f>
        <v>740.35087999999996</v>
      </c>
      <c r="H774" s="106">
        <f>'Detailed Report'!AS770</f>
        <v>185.08771999999999</v>
      </c>
      <c r="I774" s="106">
        <f>'Detailed Report'!AT770</f>
        <v>25.912280800000001</v>
      </c>
      <c r="J774" s="106">
        <f>'Detailed Report'!AO770</f>
        <v>14.77</v>
      </c>
      <c r="K774" s="106">
        <f>'Detailed Report'!AP770</f>
        <v>2.0678000000000001</v>
      </c>
      <c r="L774" s="106">
        <f>'Detailed Report'!AU770/1.14</f>
        <v>25.42982456140351</v>
      </c>
      <c r="M774" s="106">
        <f>'Detailed Report'!AU770-L774</f>
        <v>3.5601754385964881</v>
      </c>
      <c r="N774" s="110">
        <f>'Detailed Report'!AW770</f>
        <v>587.17200000000003</v>
      </c>
      <c r="O774" s="111">
        <f t="shared" si="57"/>
        <v>153.17887999999994</v>
      </c>
      <c r="P774" s="110">
        <f>'Detailed Report'!AM770</f>
        <v>0</v>
      </c>
      <c r="Q774" s="110">
        <f>'Detailed Report'!AN770</f>
        <v>0</v>
      </c>
      <c r="R774" s="110">
        <f>'Detailed Report'!AU770/1.14</f>
        <v>25.42982456140351</v>
      </c>
      <c r="S774" s="110">
        <f>'Detailed Report'!AU770-'........... - Otlob'!R774</f>
        <v>3.5601754385964881</v>
      </c>
    </row>
    <row r="775" spans="1:19" x14ac:dyDescent="0.25">
      <c r="A775" s="105">
        <f>+IF(B775="","",SUBTOTAL(3,B$8:B775))</f>
        <v>768</v>
      </c>
      <c r="B775" s="106" t="str">
        <f>'Detailed Report'!O771</f>
        <v>Fuddruckers - Concord Plaza Mall</v>
      </c>
      <c r="C775" s="107">
        <f>TRUNC('Detailed Report'!Q771,0)</f>
        <v>46048</v>
      </c>
      <c r="D775" s="108">
        <f>'Detailed Report'!P771</f>
        <v>3420667998</v>
      </c>
      <c r="E775" s="106" t="str">
        <f>'Detailed Report'!S771</f>
        <v>Successful</v>
      </c>
      <c r="F775" s="109">
        <f>IF(E775=$E$6,('Detailed Report'!Y771),IF(E775=$E$5,(0),0))</f>
        <v>784.65</v>
      </c>
      <c r="G775" s="106">
        <f>IF(E775=$E$6,('Detailed Report'!AQ771),IF(E775=$E$5,('Detailed Report'!AW771),0))</f>
        <v>688.28947000000005</v>
      </c>
      <c r="H775" s="106">
        <f>'Detailed Report'!AS771</f>
        <v>172.07237000000001</v>
      </c>
      <c r="I775" s="106">
        <f>'Detailed Report'!AT771</f>
        <v>24.090131800000002</v>
      </c>
      <c r="J775" s="106">
        <f>'Detailed Report'!AO771</f>
        <v>13.731375</v>
      </c>
      <c r="K775" s="106">
        <f>'Detailed Report'!AP771</f>
        <v>1.9223924999999999</v>
      </c>
      <c r="L775" s="106">
        <f>'Detailed Report'!AU771/1.14</f>
        <v>0</v>
      </c>
      <c r="M775" s="106">
        <f>'Detailed Report'!AU771-L775</f>
        <v>0</v>
      </c>
      <c r="N775" s="110">
        <f>'Detailed Report'!AW771</f>
        <v>538.63400000000001</v>
      </c>
      <c r="O775" s="111">
        <f t="shared" si="57"/>
        <v>149.65547000000004</v>
      </c>
      <c r="P775" s="110">
        <f>'Detailed Report'!AM771</f>
        <v>30</v>
      </c>
      <c r="Q775" s="110">
        <f>'Detailed Report'!AN771</f>
        <v>4.2</v>
      </c>
      <c r="R775" s="110">
        <f>'Detailed Report'!AU771/1.14</f>
        <v>0</v>
      </c>
      <c r="S775" s="110">
        <f>'Detailed Report'!AU771-'........... - Otlob'!R775</f>
        <v>0</v>
      </c>
    </row>
    <row r="776" spans="1:19" x14ac:dyDescent="0.25">
      <c r="A776" s="105">
        <f>+IF(B776="","",SUBTOTAL(3,B$8:B776))</f>
        <v>769</v>
      </c>
      <c r="B776" s="106" t="str">
        <f>'Detailed Report'!O772</f>
        <v>Fuddruckers - Concord Plaza Mall</v>
      </c>
      <c r="C776" s="107">
        <f>TRUNC('Detailed Report'!Q772,0)</f>
        <v>46048</v>
      </c>
      <c r="D776" s="108">
        <f>'Detailed Report'!P772</f>
        <v>3420715911</v>
      </c>
      <c r="E776" s="106" t="str">
        <f>'Detailed Report'!S772</f>
        <v>Successful</v>
      </c>
      <c r="F776" s="109">
        <f>IF(E776=$E$6,('Detailed Report'!Y772),IF(E776=$E$5,(0),0))</f>
        <v>124.94</v>
      </c>
      <c r="G776" s="106">
        <f>IF(E776=$E$6,('Detailed Report'!AQ772),IF(E776=$E$5,('Detailed Report'!AW772),0))</f>
        <v>156.57017999999999</v>
      </c>
      <c r="H776" s="106">
        <f>'Detailed Report'!AS772</f>
        <v>39.14255</v>
      </c>
      <c r="I776" s="106">
        <f>'Detailed Report'!AT772</f>
        <v>5.4799569999999997</v>
      </c>
      <c r="J776" s="106">
        <f>'Detailed Report'!AO772</f>
        <v>2.1864499999999998</v>
      </c>
      <c r="K776" s="106">
        <f>'Detailed Report'!AP772</f>
        <v>0.30610300000000001</v>
      </c>
      <c r="L776" s="106">
        <f>'Detailed Report'!AU772/1.14</f>
        <v>0</v>
      </c>
      <c r="M776" s="106">
        <f>'Detailed Report'!AU772-L776</f>
        <v>0</v>
      </c>
      <c r="N776" s="110">
        <f>'Detailed Report'!AW772</f>
        <v>77.825000000000003</v>
      </c>
      <c r="O776" s="111">
        <f t="shared" si="57"/>
        <v>78.745179999999991</v>
      </c>
      <c r="P776" s="110">
        <f>'Detailed Report'!AM772</f>
        <v>0</v>
      </c>
      <c r="Q776" s="110">
        <f>'Detailed Report'!AN772</f>
        <v>0</v>
      </c>
      <c r="R776" s="110">
        <f>'Detailed Report'!AU772/1.14</f>
        <v>0</v>
      </c>
      <c r="S776" s="110">
        <f>'Detailed Report'!AU772-'........... - Otlob'!R776</f>
        <v>0</v>
      </c>
    </row>
    <row r="777" spans="1:19" x14ac:dyDescent="0.25">
      <c r="A777" s="105">
        <f>+IF(B777="","",SUBTOTAL(3,B$8:B777))</f>
        <v>770</v>
      </c>
      <c r="B777" s="106" t="str">
        <f>'Detailed Report'!O773</f>
        <v>Fuddruckers - Concord Plaza Mall</v>
      </c>
      <c r="C777" s="107">
        <f>TRUNC('Detailed Report'!Q773,0)</f>
        <v>46048</v>
      </c>
      <c r="D777" s="108">
        <f>'Detailed Report'!P773</f>
        <v>3420721373</v>
      </c>
      <c r="E777" s="106" t="str">
        <f>'Detailed Report'!S773</f>
        <v>Successful</v>
      </c>
      <c r="F777" s="109">
        <f>IF(E777=$E$6,('Detailed Report'!Y773),IF(E777=$E$5,(0),0))</f>
        <v>1139.95</v>
      </c>
      <c r="G777" s="106">
        <f>IF(E777=$E$6,('Detailed Report'!AQ773),IF(E777=$E$5,('Detailed Report'!AW773),0))</f>
        <v>999.95614</v>
      </c>
      <c r="H777" s="106">
        <f>'Detailed Report'!AS773</f>
        <v>249.98903999999999</v>
      </c>
      <c r="I777" s="106">
        <f>'Detailed Report'!AT773</f>
        <v>34.998465600000003</v>
      </c>
      <c r="J777" s="106">
        <f>'Detailed Report'!AO773</f>
        <v>19.94912325</v>
      </c>
      <c r="K777" s="106">
        <f>'Detailed Report'!AP773</f>
        <v>2.7928772550000001</v>
      </c>
      <c r="L777" s="106">
        <f>'Detailed Report'!AU773/1.14</f>
        <v>29.815789473684216</v>
      </c>
      <c r="M777" s="106">
        <f>'Detailed Report'!AU773-L777</f>
        <v>4.174210526315786</v>
      </c>
      <c r="N777" s="110">
        <f>'Detailed Report'!AW773</f>
        <v>798.23</v>
      </c>
      <c r="O777" s="111">
        <f t="shared" ref="O777:O840" si="58">G777-N777</f>
        <v>201.72613999999999</v>
      </c>
      <c r="P777" s="110">
        <f>'Detailed Report'!AM773</f>
        <v>0</v>
      </c>
      <c r="Q777" s="110">
        <f>'Detailed Report'!AN773</f>
        <v>0</v>
      </c>
      <c r="R777" s="110">
        <f>'Detailed Report'!AU773/1.14</f>
        <v>29.815789473684216</v>
      </c>
      <c r="S777" s="110">
        <f>'Detailed Report'!AU773-'........... - Otlob'!R777</f>
        <v>4.174210526315786</v>
      </c>
    </row>
    <row r="778" spans="1:19" x14ac:dyDescent="0.25">
      <c r="A778" s="105">
        <f>+IF(B778="","",SUBTOTAL(3,B$8:B778))</f>
        <v>771</v>
      </c>
      <c r="B778" s="106" t="str">
        <f>'Detailed Report'!O774</f>
        <v>Fuddruckers - Concord Plaza Mall</v>
      </c>
      <c r="C778" s="107">
        <f>TRUNC('Detailed Report'!Q774,0)</f>
        <v>46048</v>
      </c>
      <c r="D778" s="108">
        <f>'Detailed Report'!P774</f>
        <v>3420797823</v>
      </c>
      <c r="E778" s="106" t="str">
        <f>'Detailed Report'!S774</f>
        <v>Successful</v>
      </c>
      <c r="F778" s="109">
        <f>IF(E778=$E$6,('Detailed Report'!Y774),IF(E778=$E$5,(0),0))</f>
        <v>532.48</v>
      </c>
      <c r="G778" s="106">
        <f>IF(E778=$E$6,('Detailed Report'!AQ774),IF(E778=$E$5,('Detailed Report'!AW774),0))</f>
        <v>467.08771999999999</v>
      </c>
      <c r="H778" s="106">
        <f>'Detailed Report'!AS774</f>
        <v>116.77193</v>
      </c>
      <c r="I778" s="106">
        <f>'Detailed Report'!AT774</f>
        <v>16.348070199999999</v>
      </c>
      <c r="J778" s="106">
        <f>'Detailed Report'!AO774</f>
        <v>9.3184000000000005</v>
      </c>
      <c r="K778" s="106">
        <f>'Detailed Report'!AP774</f>
        <v>1.304576</v>
      </c>
      <c r="L778" s="106">
        <f>'Detailed Report'!AU774/1.14</f>
        <v>27.184210526315791</v>
      </c>
      <c r="M778" s="106">
        <f>'Detailed Report'!AU774-L778</f>
        <v>3.8057894736842073</v>
      </c>
      <c r="N778" s="110">
        <f>'Detailed Report'!AW774</f>
        <v>357.74700000000001</v>
      </c>
      <c r="O778" s="111">
        <f t="shared" si="58"/>
        <v>109.34071999999998</v>
      </c>
      <c r="P778" s="110">
        <f>'Detailed Report'!AM774</f>
        <v>0</v>
      </c>
      <c r="Q778" s="110">
        <f>'Detailed Report'!AN774</f>
        <v>0</v>
      </c>
      <c r="R778" s="110">
        <f>'Detailed Report'!AU774/1.14</f>
        <v>27.184210526315791</v>
      </c>
      <c r="S778" s="110">
        <f>'Detailed Report'!AU774-'........... - Otlob'!R778</f>
        <v>3.8057894736842073</v>
      </c>
    </row>
    <row r="779" spans="1:19" x14ac:dyDescent="0.25">
      <c r="A779" s="105">
        <f>+IF(B779="","",SUBTOTAL(3,B$8:B779))</f>
        <v>772</v>
      </c>
      <c r="B779" s="106" t="str">
        <f>'Detailed Report'!O775</f>
        <v>Fuddruckers - Concord Plaza Mall</v>
      </c>
      <c r="C779" s="107">
        <f>TRUNC('Detailed Report'!Q775,0)</f>
        <v>46048</v>
      </c>
      <c r="D779" s="108">
        <f>'Detailed Report'!P775</f>
        <v>3420841909</v>
      </c>
      <c r="E779" s="106" t="str">
        <f>'Detailed Report'!S775</f>
        <v>Successful</v>
      </c>
      <c r="F779" s="109">
        <f>IF(E779=$E$6,('Detailed Report'!Y775),IF(E779=$E$5,(0),0))</f>
        <v>275.99</v>
      </c>
      <c r="G779" s="106">
        <f>IF(E779=$E$6,('Detailed Report'!AQ775),IF(E779=$E$5,('Detailed Report'!AW775),0))</f>
        <v>242.09648999999999</v>
      </c>
      <c r="H779" s="106">
        <f>'Detailed Report'!AS775</f>
        <v>60.524120000000003</v>
      </c>
      <c r="I779" s="106">
        <f>'Detailed Report'!AT775</f>
        <v>8.4733768000000005</v>
      </c>
      <c r="J779" s="106">
        <f>'Detailed Report'!AO775</f>
        <v>0</v>
      </c>
      <c r="K779" s="106">
        <f>'Detailed Report'!AP775</f>
        <v>0</v>
      </c>
      <c r="L779" s="106">
        <f>'Detailed Report'!AU775/1.14</f>
        <v>27.184210526315791</v>
      </c>
      <c r="M779" s="106">
        <f>'Detailed Report'!AU775-L779</f>
        <v>3.8057894736842073</v>
      </c>
      <c r="N779" s="110">
        <f>'Detailed Report'!AW775</f>
        <v>176.00299999999999</v>
      </c>
      <c r="O779" s="111">
        <f t="shared" si="58"/>
        <v>66.093490000000003</v>
      </c>
      <c r="P779" s="110">
        <f>'Detailed Report'!AM775</f>
        <v>0</v>
      </c>
      <c r="Q779" s="110">
        <f>'Detailed Report'!AN775</f>
        <v>0</v>
      </c>
      <c r="R779" s="110">
        <f>'Detailed Report'!AU775/1.14</f>
        <v>27.184210526315791</v>
      </c>
      <c r="S779" s="110">
        <f>'Detailed Report'!AU775-'........... - Otlob'!R779</f>
        <v>3.8057894736842073</v>
      </c>
    </row>
    <row r="780" spans="1:19" x14ac:dyDescent="0.25">
      <c r="A780" s="105">
        <f>+IF(B780="","",SUBTOTAL(3,B$8:B780))</f>
        <v>773</v>
      </c>
      <c r="B780" s="106" t="str">
        <f>'Detailed Report'!O776</f>
        <v>Fuddruckers - New Maadi</v>
      </c>
      <c r="C780" s="107">
        <f>TRUNC('Detailed Report'!Q776,0)</f>
        <v>46048</v>
      </c>
      <c r="D780" s="108">
        <f>'Detailed Report'!P776</f>
        <v>3420916683</v>
      </c>
      <c r="E780" s="106" t="str">
        <f>'Detailed Report'!S776</f>
        <v>Successful</v>
      </c>
      <c r="F780" s="109">
        <f>IF(E780=$E$6,('Detailed Report'!Y776),IF(E780=$E$5,(0),0))</f>
        <v>315.64999999999998</v>
      </c>
      <c r="G780" s="106">
        <f>IF(E780=$E$6,('Detailed Report'!AQ776),IF(E780=$E$5,('Detailed Report'!AW776),0))</f>
        <v>276.88596000000001</v>
      </c>
      <c r="H780" s="106">
        <f>'Detailed Report'!AS776</f>
        <v>69.221490000000003</v>
      </c>
      <c r="I780" s="106">
        <f>'Detailed Report'!AT776</f>
        <v>9.6910086</v>
      </c>
      <c r="J780" s="106">
        <f>'Detailed Report'!AO776</f>
        <v>5.5238750000000003</v>
      </c>
      <c r="K780" s="106">
        <f>'Detailed Report'!AP776</f>
        <v>0.77334250000000004</v>
      </c>
      <c r="L780" s="106">
        <f>'Detailed Report'!AU776/1.14</f>
        <v>23.67543859649123</v>
      </c>
      <c r="M780" s="106">
        <f>'Detailed Report'!AU776-L780</f>
        <v>3.3145614035087689</v>
      </c>
      <c r="N780" s="110">
        <f>'Detailed Report'!AW776</f>
        <v>203.45</v>
      </c>
      <c r="O780" s="111">
        <f t="shared" si="58"/>
        <v>73.435960000000023</v>
      </c>
      <c r="P780" s="110">
        <f>'Detailed Report'!AM776</f>
        <v>0</v>
      </c>
      <c r="Q780" s="110">
        <f>'Detailed Report'!AN776</f>
        <v>0</v>
      </c>
      <c r="R780" s="110">
        <f>'Detailed Report'!AU776/1.14</f>
        <v>23.67543859649123</v>
      </c>
      <c r="S780" s="110">
        <f>'Detailed Report'!AU776-'........... - Otlob'!R780</f>
        <v>3.3145614035087689</v>
      </c>
    </row>
    <row r="781" spans="1:19" x14ac:dyDescent="0.25">
      <c r="A781" s="105">
        <f>+IF(B781="","",SUBTOTAL(3,B$8:B781))</f>
        <v>774</v>
      </c>
      <c r="B781" s="106" t="str">
        <f>'Detailed Report'!O777</f>
        <v>Fuddruckers - Concord Plaza Mall</v>
      </c>
      <c r="C781" s="107">
        <f>TRUNC('Detailed Report'!Q777,0)</f>
        <v>46048</v>
      </c>
      <c r="D781" s="108">
        <f>'Detailed Report'!P777</f>
        <v>3420979122</v>
      </c>
      <c r="E781" s="106" t="str">
        <f>'Detailed Report'!S777</f>
        <v>Successful</v>
      </c>
      <c r="F781" s="109">
        <f>IF(E781=$E$6,('Detailed Report'!Y777),IF(E781=$E$5,(0),0))</f>
        <v>509.82</v>
      </c>
      <c r="G781" s="106">
        <f>IF(E781=$E$6,('Detailed Report'!AQ777),IF(E781=$E$5,('Detailed Report'!AW777),0))</f>
        <v>447.21053000000001</v>
      </c>
      <c r="H781" s="106">
        <f>'Detailed Report'!AS777</f>
        <v>111.80262999999999</v>
      </c>
      <c r="I781" s="106">
        <f>'Detailed Report'!AT777</f>
        <v>15.6523682</v>
      </c>
      <c r="J781" s="106">
        <f>'Detailed Report'!AO777</f>
        <v>0</v>
      </c>
      <c r="K781" s="106">
        <f>'Detailed Report'!AP777</f>
        <v>0</v>
      </c>
      <c r="L781" s="106">
        <f>'Detailed Report'!AU777/1.14</f>
        <v>0</v>
      </c>
      <c r="M781" s="106">
        <f>'Detailed Report'!AU777-L781</f>
        <v>0</v>
      </c>
      <c r="N781" s="110">
        <f>'Detailed Report'!AW777</f>
        <v>382.36500000000001</v>
      </c>
      <c r="O781" s="111">
        <f t="shared" si="58"/>
        <v>64.845529999999997</v>
      </c>
      <c r="P781" s="110">
        <f>'Detailed Report'!AM777</f>
        <v>0</v>
      </c>
      <c r="Q781" s="110">
        <f>'Detailed Report'!AN777</f>
        <v>0</v>
      </c>
      <c r="R781" s="110">
        <f>'Detailed Report'!AU777/1.14</f>
        <v>0</v>
      </c>
      <c r="S781" s="110">
        <f>'Detailed Report'!AU777-'........... - Otlob'!R781</f>
        <v>0</v>
      </c>
    </row>
    <row r="782" spans="1:19" x14ac:dyDescent="0.25">
      <c r="A782" s="105">
        <f>+IF(B782="","",SUBTOTAL(3,B$8:B782))</f>
        <v>775</v>
      </c>
      <c r="B782" s="106" t="str">
        <f>'Detailed Report'!O778</f>
        <v>Fuddruckers - Concord Plaza Mall</v>
      </c>
      <c r="C782" s="107">
        <f>TRUNC('Detailed Report'!Q778,0)</f>
        <v>46048</v>
      </c>
      <c r="D782" s="108">
        <f>'Detailed Report'!P778</f>
        <v>3420982201</v>
      </c>
      <c r="E782" s="106" t="str">
        <f>'Detailed Report'!S778</f>
        <v>Successful</v>
      </c>
      <c r="F782" s="109">
        <f>IF(E782=$E$6,('Detailed Report'!Y778),IF(E782=$E$5,(0),0))</f>
        <v>635.16999999999996</v>
      </c>
      <c r="G782" s="106">
        <f>IF(E782=$E$6,('Detailed Report'!AQ778),IF(E782=$E$5,('Detailed Report'!AW778),0))</f>
        <v>557.16666999999995</v>
      </c>
      <c r="H782" s="106">
        <f>'Detailed Report'!AS778</f>
        <v>139.29167000000001</v>
      </c>
      <c r="I782" s="106">
        <f>'Detailed Report'!AT778</f>
        <v>19.500833799999999</v>
      </c>
      <c r="J782" s="106">
        <f>'Detailed Report'!AO778</f>
        <v>0</v>
      </c>
      <c r="K782" s="106">
        <f>'Detailed Report'!AP778</f>
        <v>0</v>
      </c>
      <c r="L782" s="106">
        <f>'Detailed Report'!AU778/1.14</f>
        <v>0</v>
      </c>
      <c r="M782" s="106">
        <f>'Detailed Report'!AU778-L782</f>
        <v>0</v>
      </c>
      <c r="N782" s="110">
        <f>'Detailed Report'!AW778</f>
        <v>476.37700000000001</v>
      </c>
      <c r="O782" s="111">
        <f t="shared" si="58"/>
        <v>80.789669999999944</v>
      </c>
      <c r="P782" s="110">
        <f>'Detailed Report'!AM778</f>
        <v>0</v>
      </c>
      <c r="Q782" s="110">
        <f>'Detailed Report'!AN778</f>
        <v>0</v>
      </c>
      <c r="R782" s="110">
        <f>'Detailed Report'!AU778/1.14</f>
        <v>0</v>
      </c>
      <c r="S782" s="110">
        <f>'Detailed Report'!AU778-'........... - Otlob'!R782</f>
        <v>0</v>
      </c>
    </row>
    <row r="783" spans="1:19" x14ac:dyDescent="0.25">
      <c r="A783" s="105">
        <f>+IF(B783="","",SUBTOTAL(3,B$8:B783))</f>
        <v>776</v>
      </c>
      <c r="B783" s="106" t="str">
        <f>'Detailed Report'!O779</f>
        <v>Fuddruckers - City Stars</v>
      </c>
      <c r="C783" s="107">
        <f>TRUNC('Detailed Report'!Q779,0)</f>
        <v>46048</v>
      </c>
      <c r="D783" s="108">
        <f>'Detailed Report'!P779</f>
        <v>3420986096</v>
      </c>
      <c r="E783" s="106" t="str">
        <f>'Detailed Report'!S779</f>
        <v>Successful</v>
      </c>
      <c r="F783" s="109">
        <f>IF(E783=$E$6,('Detailed Report'!Y779),IF(E783=$E$5,(0),0))</f>
        <v>1291.96</v>
      </c>
      <c r="G783" s="106">
        <f>IF(E783=$E$6,('Detailed Report'!AQ779),IF(E783=$E$5,('Detailed Report'!AW779),0))</f>
        <v>1133.2982500000001</v>
      </c>
      <c r="H783" s="106">
        <f>'Detailed Report'!AS779</f>
        <v>283.32456000000002</v>
      </c>
      <c r="I783" s="106">
        <f>'Detailed Report'!AT779</f>
        <v>39.665438399999999</v>
      </c>
      <c r="J783" s="106">
        <f>'Detailed Report'!AO779</f>
        <v>22.609298249999998</v>
      </c>
      <c r="K783" s="106">
        <f>'Detailed Report'!AP779</f>
        <v>3.1653017550000002</v>
      </c>
      <c r="L783" s="106">
        <f>'Detailed Report'!AU779/1.14</f>
        <v>0</v>
      </c>
      <c r="M783" s="106">
        <f>'Detailed Report'!AU779-L783</f>
        <v>0</v>
      </c>
      <c r="N783" s="110">
        <f>'Detailed Report'!AW779</f>
        <v>908.995</v>
      </c>
      <c r="O783" s="111">
        <f t="shared" si="58"/>
        <v>224.30325000000005</v>
      </c>
      <c r="P783" s="110">
        <f>'Detailed Report'!AM779</f>
        <v>30</v>
      </c>
      <c r="Q783" s="110">
        <f>'Detailed Report'!AN779</f>
        <v>4.2</v>
      </c>
      <c r="R783" s="110">
        <f>'Detailed Report'!AU779/1.14</f>
        <v>0</v>
      </c>
      <c r="S783" s="110">
        <f>'Detailed Report'!AU779-'........... - Otlob'!R783</f>
        <v>0</v>
      </c>
    </row>
    <row r="784" spans="1:19" x14ac:dyDescent="0.25">
      <c r="A784" s="105">
        <f>+IF(B784="","",SUBTOTAL(3,B$8:B784))</f>
        <v>777</v>
      </c>
      <c r="B784" s="106" t="str">
        <f>'Detailed Report'!O780</f>
        <v>Fuddruckers - City Stars</v>
      </c>
      <c r="C784" s="107">
        <f>TRUNC('Detailed Report'!Q780,0)</f>
        <v>46048</v>
      </c>
      <c r="D784" s="108">
        <f>'Detailed Report'!P780</f>
        <v>3420995255</v>
      </c>
      <c r="E784" s="106" t="str">
        <f>'Detailed Report'!S780</f>
        <v>Successful</v>
      </c>
      <c r="F784" s="109">
        <f>IF(E784=$E$6,('Detailed Report'!Y780),IF(E784=$E$5,(0),0))</f>
        <v>355</v>
      </c>
      <c r="G784" s="106">
        <f>IF(E784=$E$6,('Detailed Report'!AQ780),IF(E784=$E$5,('Detailed Report'!AW780),0))</f>
        <v>311.40350999999998</v>
      </c>
      <c r="H784" s="106">
        <f>'Detailed Report'!AS780</f>
        <v>77.850880000000004</v>
      </c>
      <c r="I784" s="106">
        <f>'Detailed Report'!AT780</f>
        <v>10.8991232</v>
      </c>
      <c r="J784" s="106">
        <f>'Detailed Report'!AO780</f>
        <v>6.2125000000000004</v>
      </c>
      <c r="K784" s="106">
        <f>'Detailed Report'!AP780</f>
        <v>0.86975000000000002</v>
      </c>
      <c r="L784" s="106">
        <f>'Detailed Report'!AU780/1.14</f>
        <v>25.42982456140351</v>
      </c>
      <c r="M784" s="106">
        <f>'Detailed Report'!AU780-L784</f>
        <v>3.5601754385964881</v>
      </c>
      <c r="N784" s="110">
        <f>'Detailed Report'!AW780</f>
        <v>230.178</v>
      </c>
      <c r="O784" s="111">
        <f t="shared" si="58"/>
        <v>81.225509999999986</v>
      </c>
      <c r="P784" s="110">
        <f>'Detailed Report'!AM780</f>
        <v>0</v>
      </c>
      <c r="Q784" s="110">
        <f>'Detailed Report'!AN780</f>
        <v>0</v>
      </c>
      <c r="R784" s="110">
        <f>'Detailed Report'!AU780/1.14</f>
        <v>25.42982456140351</v>
      </c>
      <c r="S784" s="110">
        <f>'Detailed Report'!AU780-'........... - Otlob'!R784</f>
        <v>3.5601754385964881</v>
      </c>
    </row>
    <row r="785" spans="1:19" x14ac:dyDescent="0.25">
      <c r="A785" s="105">
        <f>+IF(B785="","",SUBTOTAL(3,B$8:B785))</f>
        <v>778</v>
      </c>
      <c r="B785" s="106" t="str">
        <f>'Detailed Report'!O781</f>
        <v>Fuddruckers - New Maadi</v>
      </c>
      <c r="C785" s="107">
        <f>TRUNC('Detailed Report'!Q781,0)</f>
        <v>46048</v>
      </c>
      <c r="D785" s="108">
        <f>'Detailed Report'!P781</f>
        <v>3421019570</v>
      </c>
      <c r="E785" s="106" t="str">
        <f>'Detailed Report'!S781</f>
        <v>Successful</v>
      </c>
      <c r="F785" s="109">
        <f>IF(E785=$E$6,('Detailed Report'!Y781),IF(E785=$E$5,(0),0))</f>
        <v>225.99</v>
      </c>
      <c r="G785" s="106">
        <f>IF(E785=$E$6,('Detailed Report'!AQ781),IF(E785=$E$5,('Detailed Report'!AW781),0))</f>
        <v>198.23684</v>
      </c>
      <c r="H785" s="106">
        <f>'Detailed Report'!AS781</f>
        <v>49.55921</v>
      </c>
      <c r="I785" s="106">
        <f>'Detailed Report'!AT781</f>
        <v>6.9382894000000004</v>
      </c>
      <c r="J785" s="106">
        <f>'Detailed Report'!AO781</f>
        <v>0</v>
      </c>
      <c r="K785" s="106">
        <f>'Detailed Report'!AP781</f>
        <v>0</v>
      </c>
      <c r="L785" s="106">
        <f>'Detailed Report'!AU781/1.14</f>
        <v>0</v>
      </c>
      <c r="M785" s="106">
        <f>'Detailed Report'!AU781-L785</f>
        <v>0</v>
      </c>
      <c r="N785" s="110">
        <f>'Detailed Report'!AW781</f>
        <v>169.49299999999999</v>
      </c>
      <c r="O785" s="111">
        <f t="shared" si="58"/>
        <v>28.743840000000006</v>
      </c>
      <c r="P785" s="110">
        <f>'Detailed Report'!AM781</f>
        <v>0</v>
      </c>
      <c r="Q785" s="110">
        <f>'Detailed Report'!AN781</f>
        <v>0</v>
      </c>
      <c r="R785" s="110">
        <f>'Detailed Report'!AU781/1.14</f>
        <v>0</v>
      </c>
      <c r="S785" s="110">
        <f>'Detailed Report'!AU781-'........... - Otlob'!R785</f>
        <v>0</v>
      </c>
    </row>
    <row r="786" spans="1:19" x14ac:dyDescent="0.25">
      <c r="A786" s="105">
        <f>+IF(B786="","",SUBTOTAL(3,B$8:B786))</f>
        <v>779</v>
      </c>
      <c r="B786" s="106" t="str">
        <f>'Detailed Report'!O782</f>
        <v>Fuddruckers - New Maadi</v>
      </c>
      <c r="C786" s="107">
        <f>TRUNC('Detailed Report'!Q782,0)</f>
        <v>46048</v>
      </c>
      <c r="D786" s="108">
        <f>'Detailed Report'!P782</f>
        <v>3421065100</v>
      </c>
      <c r="E786" s="106" t="str">
        <f>'Detailed Report'!S782</f>
        <v>Successful</v>
      </c>
      <c r="F786" s="109">
        <f>IF(E786=$E$6,('Detailed Report'!Y782),IF(E786=$E$5,(0),0))</f>
        <v>390.33</v>
      </c>
      <c r="G786" s="106">
        <f>IF(E786=$E$6,('Detailed Report'!AQ782),IF(E786=$E$5,('Detailed Report'!AW782),0))</f>
        <v>342.39474000000001</v>
      </c>
      <c r="H786" s="106">
        <f>'Detailed Report'!AS782</f>
        <v>85.598690000000005</v>
      </c>
      <c r="I786" s="106">
        <f>'Detailed Report'!AT782</f>
        <v>11.983816600000001</v>
      </c>
      <c r="J786" s="106">
        <f>'Detailed Report'!AO782</f>
        <v>6.830775</v>
      </c>
      <c r="K786" s="106">
        <f>'Detailed Report'!AP782</f>
        <v>0.95630850000000001</v>
      </c>
      <c r="L786" s="106">
        <f>'Detailed Report'!AU782/1.14</f>
        <v>0</v>
      </c>
      <c r="M786" s="106">
        <f>'Detailed Report'!AU782-L786</f>
        <v>0</v>
      </c>
      <c r="N786" s="110">
        <f>'Detailed Report'!AW782</f>
        <v>284.95999999999998</v>
      </c>
      <c r="O786" s="111">
        <f t="shared" si="58"/>
        <v>57.434740000000033</v>
      </c>
      <c r="P786" s="110">
        <f>'Detailed Report'!AM782</f>
        <v>0</v>
      </c>
      <c r="Q786" s="110">
        <f>'Detailed Report'!AN782</f>
        <v>0</v>
      </c>
      <c r="R786" s="110">
        <f>'Detailed Report'!AU782/1.14</f>
        <v>0</v>
      </c>
      <c r="S786" s="110">
        <f>'Detailed Report'!AU782-'........... - Otlob'!R786</f>
        <v>0</v>
      </c>
    </row>
    <row r="787" spans="1:19" x14ac:dyDescent="0.25">
      <c r="A787" s="105">
        <f>+IF(B787="","",SUBTOTAL(3,B$8:B787))</f>
        <v>780</v>
      </c>
      <c r="B787" s="106" t="str">
        <f>'Detailed Report'!O783</f>
        <v>Fuddruckers - Concord Plaza Mall</v>
      </c>
      <c r="C787" s="107">
        <f>TRUNC('Detailed Report'!Q783,0)</f>
        <v>46048</v>
      </c>
      <c r="D787" s="108">
        <f>'Detailed Report'!P783</f>
        <v>3421073378</v>
      </c>
      <c r="E787" s="106" t="str">
        <f>'Detailed Report'!S783</f>
        <v>Successful</v>
      </c>
      <c r="F787" s="109">
        <f>IF(E787=$E$6,('Detailed Report'!Y783),IF(E787=$E$5,(0),0))</f>
        <v>778.97</v>
      </c>
      <c r="G787" s="106">
        <f>IF(E787=$E$6,('Detailed Report'!AQ783),IF(E787=$E$5,('Detailed Report'!AW783),0))</f>
        <v>683.30701999999997</v>
      </c>
      <c r="H787" s="106">
        <f>'Detailed Report'!AS783</f>
        <v>170.82676000000001</v>
      </c>
      <c r="I787" s="106">
        <f>'Detailed Report'!AT783</f>
        <v>23.9157464</v>
      </c>
      <c r="J787" s="106">
        <f>'Detailed Report'!AO783</f>
        <v>13.631975000000001</v>
      </c>
      <c r="K787" s="106">
        <f>'Detailed Report'!AP783</f>
        <v>1.9084764999999999</v>
      </c>
      <c r="L787" s="106">
        <f>'Detailed Report'!AU783/1.14</f>
        <v>27.184210526315791</v>
      </c>
      <c r="M787" s="106">
        <f>'Detailed Report'!AU783-L787</f>
        <v>3.8057894736842073</v>
      </c>
      <c r="N787" s="110">
        <f>'Detailed Report'!AW783</f>
        <v>537.697</v>
      </c>
      <c r="O787" s="111">
        <f t="shared" si="58"/>
        <v>145.61001999999996</v>
      </c>
      <c r="P787" s="110">
        <f>'Detailed Report'!AM783</f>
        <v>0</v>
      </c>
      <c r="Q787" s="110">
        <f>'Detailed Report'!AN783</f>
        <v>0</v>
      </c>
      <c r="R787" s="110">
        <f>'Detailed Report'!AU783/1.14</f>
        <v>27.184210526315791</v>
      </c>
      <c r="S787" s="110">
        <f>'Detailed Report'!AU783-'........... - Otlob'!R787</f>
        <v>3.8057894736842073</v>
      </c>
    </row>
    <row r="788" spans="1:19" x14ac:dyDescent="0.25">
      <c r="A788" s="105">
        <f>+IF(B788="","",SUBTOTAL(3,B$8:B788))</f>
        <v>781</v>
      </c>
      <c r="B788" s="106" t="str">
        <f>'Detailed Report'!O784</f>
        <v>Fuddruckers - Concord Plaza Mall</v>
      </c>
      <c r="C788" s="107">
        <f>TRUNC('Detailed Report'!Q784,0)</f>
        <v>46048</v>
      </c>
      <c r="D788" s="108">
        <f>'Detailed Report'!P784</f>
        <v>3421087147</v>
      </c>
      <c r="E788" s="106" t="str">
        <f>'Detailed Report'!S784</f>
        <v>Successful</v>
      </c>
      <c r="F788" s="109">
        <f>IF(E788=$E$6,('Detailed Report'!Y784),IF(E788=$E$5,(0),0))</f>
        <v>639.99</v>
      </c>
      <c r="G788" s="106">
        <f>IF(E788=$E$6,('Detailed Report'!AQ784),IF(E788=$E$5,('Detailed Report'!AW784),0))</f>
        <v>561.39473999999996</v>
      </c>
      <c r="H788" s="106">
        <f>'Detailed Report'!AS784</f>
        <v>140.34869</v>
      </c>
      <c r="I788" s="106">
        <f>'Detailed Report'!AT784</f>
        <v>19.6488166</v>
      </c>
      <c r="J788" s="106">
        <f>'Detailed Report'!AO784</f>
        <v>11.199825000000001</v>
      </c>
      <c r="K788" s="106">
        <f>'Detailed Report'!AP784</f>
        <v>1.5679755</v>
      </c>
      <c r="L788" s="106">
        <f>'Detailed Report'!AU784/1.14</f>
        <v>0</v>
      </c>
      <c r="M788" s="106">
        <f>'Detailed Report'!AU784-L788</f>
        <v>0</v>
      </c>
      <c r="N788" s="110">
        <f>'Detailed Report'!AW784</f>
        <v>467.22500000000002</v>
      </c>
      <c r="O788" s="111">
        <f t="shared" si="58"/>
        <v>94.169739999999933</v>
      </c>
      <c r="P788" s="110">
        <f>'Detailed Report'!AM784</f>
        <v>0</v>
      </c>
      <c r="Q788" s="110">
        <f>'Detailed Report'!AN784</f>
        <v>0</v>
      </c>
      <c r="R788" s="110">
        <f>'Detailed Report'!AU784/1.14</f>
        <v>0</v>
      </c>
      <c r="S788" s="110">
        <f>'Detailed Report'!AU784-'........... - Otlob'!R788</f>
        <v>0</v>
      </c>
    </row>
    <row r="789" spans="1:19" x14ac:dyDescent="0.25">
      <c r="A789" s="105">
        <f>+IF(B789="","",SUBTOTAL(3,B$8:B789))</f>
        <v>782</v>
      </c>
      <c r="B789" s="106" t="str">
        <f>'Detailed Report'!O785</f>
        <v>Fuddruckers - Concord Plaza Mall</v>
      </c>
      <c r="C789" s="107">
        <f>TRUNC('Detailed Report'!Q785,0)</f>
        <v>46048</v>
      </c>
      <c r="D789" s="108">
        <f>'Detailed Report'!P785</f>
        <v>3421096752</v>
      </c>
      <c r="E789" s="106" t="str">
        <f>'Detailed Report'!S785</f>
        <v>Successful</v>
      </c>
      <c r="F789" s="109">
        <f>IF(E789=$E$6,('Detailed Report'!Y785),IF(E789=$E$5,(0),0))</f>
        <v>659.98</v>
      </c>
      <c r="G789" s="106">
        <f>IF(E789=$E$6,('Detailed Report'!AQ785),IF(E789=$E$5,('Detailed Report'!AW785),0))</f>
        <v>578.92981999999995</v>
      </c>
      <c r="H789" s="106">
        <f>'Detailed Report'!AS785</f>
        <v>144.73246</v>
      </c>
      <c r="I789" s="106">
        <f>'Detailed Report'!AT785</f>
        <v>20.262544399999999</v>
      </c>
      <c r="J789" s="106">
        <f>'Detailed Report'!AO785</f>
        <v>11.54965</v>
      </c>
      <c r="K789" s="106">
        <f>'Detailed Report'!AP785</f>
        <v>1.616951</v>
      </c>
      <c r="L789" s="106">
        <f>'Detailed Report'!AU785/1.14</f>
        <v>0</v>
      </c>
      <c r="M789" s="106">
        <f>'Detailed Report'!AU785-L789</f>
        <v>0</v>
      </c>
      <c r="N789" s="110">
        <f>'Detailed Report'!AW785</f>
        <v>481.81799999999998</v>
      </c>
      <c r="O789" s="111">
        <f t="shared" si="58"/>
        <v>97.111819999999966</v>
      </c>
      <c r="P789" s="110">
        <f>'Detailed Report'!AM785</f>
        <v>0</v>
      </c>
      <c r="Q789" s="110">
        <f>'Detailed Report'!AN785</f>
        <v>0</v>
      </c>
      <c r="R789" s="110">
        <f>'Detailed Report'!AU785/1.14</f>
        <v>0</v>
      </c>
      <c r="S789" s="110">
        <f>'Detailed Report'!AU785-'........... - Otlob'!R789</f>
        <v>0</v>
      </c>
    </row>
    <row r="790" spans="1:19" x14ac:dyDescent="0.25">
      <c r="A790" s="105">
        <f>+IF(B790="","",SUBTOTAL(3,B$8:B790))</f>
        <v>783</v>
      </c>
      <c r="B790" s="106" t="str">
        <f>'Detailed Report'!O786</f>
        <v>Fuddruckers - Concord Plaza Mall</v>
      </c>
      <c r="C790" s="107">
        <f>TRUNC('Detailed Report'!Q786,0)</f>
        <v>46048</v>
      </c>
      <c r="D790" s="108">
        <f>'Detailed Report'!P786</f>
        <v>3421109957</v>
      </c>
      <c r="E790" s="106" t="str">
        <f>'Detailed Report'!S786</f>
        <v>Successful</v>
      </c>
      <c r="F790" s="109">
        <f>IF(E790=$E$6,('Detailed Report'!Y786),IF(E790=$E$5,(0),0))</f>
        <v>494.92</v>
      </c>
      <c r="G790" s="106">
        <f>IF(E790=$E$6,('Detailed Report'!AQ786),IF(E790=$E$5,('Detailed Report'!AW786),0))</f>
        <v>434.14035000000001</v>
      </c>
      <c r="H790" s="106">
        <f>'Detailed Report'!AS786</f>
        <v>108.53509</v>
      </c>
      <c r="I790" s="106">
        <f>'Detailed Report'!AT786</f>
        <v>15.1949126</v>
      </c>
      <c r="J790" s="106">
        <f>'Detailed Report'!AO786</f>
        <v>8.6610999999999994</v>
      </c>
      <c r="K790" s="106">
        <f>'Detailed Report'!AP786</f>
        <v>1.2125539999999999</v>
      </c>
      <c r="L790" s="106">
        <f>'Detailed Report'!AU786/1.14</f>
        <v>28.061403508771932</v>
      </c>
      <c r="M790" s="106">
        <f>'Detailed Report'!AU786-L790</f>
        <v>3.9285964912280669</v>
      </c>
      <c r="N790" s="110">
        <f>'Detailed Report'!AW786</f>
        <v>329.32600000000002</v>
      </c>
      <c r="O790" s="111">
        <f t="shared" si="58"/>
        <v>104.81434999999999</v>
      </c>
      <c r="P790" s="110">
        <f>'Detailed Report'!AM786</f>
        <v>0</v>
      </c>
      <c r="Q790" s="110">
        <f>'Detailed Report'!AN786</f>
        <v>0</v>
      </c>
      <c r="R790" s="110">
        <f>'Detailed Report'!AU786/1.14</f>
        <v>28.061403508771932</v>
      </c>
      <c r="S790" s="110">
        <f>'Detailed Report'!AU786-'........... - Otlob'!R790</f>
        <v>3.9285964912280669</v>
      </c>
    </row>
    <row r="791" spans="1:19" x14ac:dyDescent="0.25">
      <c r="A791" s="105">
        <f>+IF(B791="","",SUBTOTAL(3,B$8:B791))</f>
        <v>784</v>
      </c>
      <c r="B791" s="106" t="str">
        <f>'Detailed Report'!O787</f>
        <v>Fuddruckers - Concord Plaza Mall</v>
      </c>
      <c r="C791" s="107">
        <f>TRUNC('Detailed Report'!Q787,0)</f>
        <v>46048</v>
      </c>
      <c r="D791" s="108">
        <f>'Detailed Report'!P787</f>
        <v>3421135032</v>
      </c>
      <c r="E791" s="106" t="str">
        <f>'Detailed Report'!S787</f>
        <v>Successful</v>
      </c>
      <c r="F791" s="109">
        <f>IF(E791=$E$6,('Detailed Report'!Y787),IF(E791=$E$5,(0),0))</f>
        <v>353.99</v>
      </c>
      <c r="G791" s="106">
        <f>IF(E791=$E$6,('Detailed Report'!AQ787),IF(E791=$E$5,('Detailed Report'!AW787),0))</f>
        <v>310.51754</v>
      </c>
      <c r="H791" s="106">
        <f>'Detailed Report'!AS787</f>
        <v>77.629390000000001</v>
      </c>
      <c r="I791" s="106">
        <f>'Detailed Report'!AT787</f>
        <v>10.8681146</v>
      </c>
      <c r="J791" s="106">
        <f>'Detailed Report'!AO787</f>
        <v>6.1948249999999998</v>
      </c>
      <c r="K791" s="106">
        <f>'Detailed Report'!AP787</f>
        <v>0.86727549999999998</v>
      </c>
      <c r="L791" s="106">
        <f>'Detailed Report'!AU787/1.14</f>
        <v>0</v>
      </c>
      <c r="M791" s="106">
        <f>'Detailed Report'!AU787-L791</f>
        <v>0</v>
      </c>
      <c r="N791" s="110">
        <f>'Detailed Report'!AW787</f>
        <v>258.43</v>
      </c>
      <c r="O791" s="111">
        <f t="shared" si="58"/>
        <v>52.08753999999999</v>
      </c>
      <c r="P791" s="110">
        <f>'Detailed Report'!AM787</f>
        <v>0</v>
      </c>
      <c r="Q791" s="110">
        <f>'Detailed Report'!AN787</f>
        <v>0</v>
      </c>
      <c r="R791" s="110">
        <f>'Detailed Report'!AU787/1.14</f>
        <v>0</v>
      </c>
      <c r="S791" s="110">
        <f>'Detailed Report'!AU787-'........... - Otlob'!R791</f>
        <v>0</v>
      </c>
    </row>
    <row r="792" spans="1:19" x14ac:dyDescent="0.25">
      <c r="A792" s="105">
        <f>+IF(B792="","",SUBTOTAL(3,B$8:B792))</f>
        <v>785</v>
      </c>
      <c r="B792" s="106" t="str">
        <f>'Detailed Report'!O788</f>
        <v>Fuddruckers - Concord Plaza Mall</v>
      </c>
      <c r="C792" s="107">
        <f>TRUNC('Detailed Report'!Q788,0)</f>
        <v>46048</v>
      </c>
      <c r="D792" s="108">
        <f>'Detailed Report'!P788</f>
        <v>3421170377</v>
      </c>
      <c r="E792" s="106" t="str">
        <f>'Detailed Report'!S788</f>
        <v>Successful</v>
      </c>
      <c r="F792" s="109">
        <f>IF(E792=$E$6,('Detailed Report'!Y788),IF(E792=$E$5,(0),0))</f>
        <v>363.99</v>
      </c>
      <c r="G792" s="106">
        <f>IF(E792=$E$6,('Detailed Report'!AQ788),IF(E792=$E$5,('Detailed Report'!AW788),0))</f>
        <v>319.28946999999999</v>
      </c>
      <c r="H792" s="106">
        <f>'Detailed Report'!AS788</f>
        <v>79.822370000000006</v>
      </c>
      <c r="I792" s="106">
        <f>'Detailed Report'!AT788</f>
        <v>11.175131800000001</v>
      </c>
      <c r="J792" s="106">
        <f>'Detailed Report'!AO788</f>
        <v>6.3698249999999996</v>
      </c>
      <c r="K792" s="106">
        <f>'Detailed Report'!AP788</f>
        <v>0.89177550000000005</v>
      </c>
      <c r="L792" s="106">
        <f>'Detailed Report'!AU788/1.14</f>
        <v>28.061403508771932</v>
      </c>
      <c r="M792" s="106">
        <f>'Detailed Report'!AU788-L792</f>
        <v>3.9285964912280669</v>
      </c>
      <c r="N792" s="110">
        <f>'Detailed Report'!AW788</f>
        <v>233.74100000000001</v>
      </c>
      <c r="O792" s="111">
        <f t="shared" si="58"/>
        <v>85.54846999999998</v>
      </c>
      <c r="P792" s="110">
        <f>'Detailed Report'!AM788</f>
        <v>0</v>
      </c>
      <c r="Q792" s="110">
        <f>'Detailed Report'!AN788</f>
        <v>0</v>
      </c>
      <c r="R792" s="110">
        <f>'Detailed Report'!AU788/1.14</f>
        <v>28.061403508771932</v>
      </c>
      <c r="S792" s="110">
        <f>'Detailed Report'!AU788-'........... - Otlob'!R792</f>
        <v>3.9285964912280669</v>
      </c>
    </row>
    <row r="793" spans="1:19" x14ac:dyDescent="0.25">
      <c r="A793" s="105">
        <f>+IF(B793="","",SUBTOTAL(3,B$8:B793))</f>
        <v>786</v>
      </c>
      <c r="B793" s="106" t="str">
        <f>'Detailed Report'!O789</f>
        <v>Fuddruckers - New Maadi</v>
      </c>
      <c r="C793" s="107">
        <f>TRUNC('Detailed Report'!Q789,0)</f>
        <v>46048</v>
      </c>
      <c r="D793" s="108">
        <f>'Detailed Report'!P789</f>
        <v>3421212321</v>
      </c>
      <c r="E793" s="106" t="str">
        <f>'Detailed Report'!S789</f>
        <v>Successful</v>
      </c>
      <c r="F793" s="109">
        <f>IF(E793=$E$6,('Detailed Report'!Y789),IF(E793=$E$5,(0),0))</f>
        <v>159.6</v>
      </c>
      <c r="G793" s="106">
        <f>IF(E793=$E$6,('Detailed Report'!AQ789),IF(E793=$E$5,('Detailed Report'!AW789),0))</f>
        <v>140</v>
      </c>
      <c r="H793" s="106">
        <f>'Detailed Report'!AS789</f>
        <v>35</v>
      </c>
      <c r="I793" s="106">
        <f>'Detailed Report'!AT789</f>
        <v>4.9000000000000004</v>
      </c>
      <c r="J793" s="106">
        <f>'Detailed Report'!AO789</f>
        <v>2.7930000000000001</v>
      </c>
      <c r="K793" s="106">
        <f>'Detailed Report'!AP789</f>
        <v>0.39101999999999998</v>
      </c>
      <c r="L793" s="106">
        <f>'Detailed Report'!AU789/1.14</f>
        <v>25.42982456140351</v>
      </c>
      <c r="M793" s="106">
        <f>'Detailed Report'!AU789-L793</f>
        <v>3.5601754385964881</v>
      </c>
      <c r="N793" s="110">
        <f>'Detailed Report'!AW789</f>
        <v>87.525999999999996</v>
      </c>
      <c r="O793" s="111">
        <f t="shared" si="58"/>
        <v>52.474000000000004</v>
      </c>
      <c r="P793" s="110">
        <f>'Detailed Report'!AM789</f>
        <v>0</v>
      </c>
      <c r="Q793" s="110">
        <f>'Detailed Report'!AN789</f>
        <v>0</v>
      </c>
      <c r="R793" s="110">
        <f>'Detailed Report'!AU789/1.14</f>
        <v>25.42982456140351</v>
      </c>
      <c r="S793" s="110">
        <f>'Detailed Report'!AU789-'........... - Otlob'!R793</f>
        <v>3.5601754385964881</v>
      </c>
    </row>
    <row r="794" spans="1:19" x14ac:dyDescent="0.25">
      <c r="A794" s="105">
        <f>+IF(B794="","",SUBTOTAL(3,B$8:B794))</f>
        <v>787</v>
      </c>
      <c r="B794" s="106" t="str">
        <f>'Detailed Report'!O790</f>
        <v>Fuddruckers - New Maadi</v>
      </c>
      <c r="C794" s="107">
        <f>TRUNC('Detailed Report'!Q790,0)</f>
        <v>46048</v>
      </c>
      <c r="D794" s="108">
        <f>'Detailed Report'!P790</f>
        <v>3421278141</v>
      </c>
      <c r="E794" s="106" t="str">
        <f>'Detailed Report'!S790</f>
        <v>Successful</v>
      </c>
      <c r="F794" s="109">
        <f>IF(E794=$E$6,('Detailed Report'!Y790),IF(E794=$E$5,(0),0))</f>
        <v>481.84</v>
      </c>
      <c r="G794" s="106">
        <f>IF(E794=$E$6,('Detailed Report'!AQ790),IF(E794=$E$5,('Detailed Report'!AW790),0))</f>
        <v>422.66667000000001</v>
      </c>
      <c r="H794" s="106">
        <f>'Detailed Report'!AS790</f>
        <v>105.66667</v>
      </c>
      <c r="I794" s="106">
        <f>'Detailed Report'!AT790</f>
        <v>14.793333799999999</v>
      </c>
      <c r="J794" s="106">
        <f>'Detailed Report'!AO790</f>
        <v>8.4321999999999999</v>
      </c>
      <c r="K794" s="106">
        <f>'Detailed Report'!AP790</f>
        <v>1.1805079999999999</v>
      </c>
      <c r="L794" s="106">
        <f>'Detailed Report'!AU790/1.14</f>
        <v>24.55263157894737</v>
      </c>
      <c r="M794" s="106">
        <f>'Detailed Report'!AU790-L794</f>
        <v>3.4373684210526285</v>
      </c>
      <c r="N794" s="110">
        <f>'Detailed Report'!AW790</f>
        <v>323.77699999999999</v>
      </c>
      <c r="O794" s="111">
        <f t="shared" si="58"/>
        <v>98.889670000000024</v>
      </c>
      <c r="P794" s="110">
        <f>'Detailed Report'!AM790</f>
        <v>0</v>
      </c>
      <c r="Q794" s="110">
        <f>'Detailed Report'!AN790</f>
        <v>0</v>
      </c>
      <c r="R794" s="110">
        <f>'Detailed Report'!AU790/1.14</f>
        <v>24.55263157894737</v>
      </c>
      <c r="S794" s="110">
        <f>'Detailed Report'!AU790-'........... - Otlob'!R794</f>
        <v>3.4373684210526285</v>
      </c>
    </row>
    <row r="795" spans="1:19" x14ac:dyDescent="0.25">
      <c r="A795" s="105">
        <f>+IF(B795="","",SUBTOTAL(3,B$8:B795))</f>
        <v>788</v>
      </c>
      <c r="B795" s="106" t="str">
        <f>'Detailed Report'!O791</f>
        <v>Fuddruckers - Concord Plaza Mall</v>
      </c>
      <c r="C795" s="107">
        <f>TRUNC('Detailed Report'!Q791,0)</f>
        <v>46048</v>
      </c>
      <c r="D795" s="108">
        <f>'Detailed Report'!P791</f>
        <v>3421305180</v>
      </c>
      <c r="E795" s="106" t="str">
        <f>'Detailed Report'!S791</f>
        <v>Successful</v>
      </c>
      <c r="F795" s="109">
        <f>IF(E795=$E$6,('Detailed Report'!Y791),IF(E795=$E$5,(0),0))</f>
        <v>353.99</v>
      </c>
      <c r="G795" s="106">
        <f>IF(E795=$E$6,('Detailed Report'!AQ791),IF(E795=$E$5,('Detailed Report'!AW791),0))</f>
        <v>310.51754</v>
      </c>
      <c r="H795" s="106">
        <f>'Detailed Report'!AS791</f>
        <v>77.629390000000001</v>
      </c>
      <c r="I795" s="106">
        <f>'Detailed Report'!AT791</f>
        <v>10.8681146</v>
      </c>
      <c r="J795" s="106">
        <f>'Detailed Report'!AO791</f>
        <v>6.1948249999999998</v>
      </c>
      <c r="K795" s="106">
        <f>'Detailed Report'!AP791</f>
        <v>0.86727549999999998</v>
      </c>
      <c r="L795" s="106">
        <f>'Detailed Report'!AU791/1.14</f>
        <v>28.938596491228076</v>
      </c>
      <c r="M795" s="106">
        <f>'Detailed Report'!AU791-L795</f>
        <v>4.0514035087719265</v>
      </c>
      <c r="N795" s="110">
        <f>'Detailed Report'!AW791</f>
        <v>225.44</v>
      </c>
      <c r="O795" s="111">
        <f t="shared" si="58"/>
        <v>85.077539999999999</v>
      </c>
      <c r="P795" s="110">
        <f>'Detailed Report'!AM791</f>
        <v>0</v>
      </c>
      <c r="Q795" s="110">
        <f>'Detailed Report'!AN791</f>
        <v>0</v>
      </c>
      <c r="R795" s="110">
        <f>'Detailed Report'!AU791/1.14</f>
        <v>28.938596491228076</v>
      </c>
      <c r="S795" s="110">
        <f>'Detailed Report'!AU791-'........... - Otlob'!R795</f>
        <v>4.0514035087719265</v>
      </c>
    </row>
    <row r="796" spans="1:19" x14ac:dyDescent="0.25">
      <c r="A796" s="105">
        <f>+IF(B796="","",SUBTOTAL(3,B$8:B796))</f>
        <v>789</v>
      </c>
      <c r="B796" s="106" t="str">
        <f>'Detailed Report'!O792</f>
        <v>Fuddruckers - Concord Plaza Mall</v>
      </c>
      <c r="C796" s="107">
        <f>TRUNC('Detailed Report'!Q792,0)</f>
        <v>46048</v>
      </c>
      <c r="D796" s="108">
        <f>'Detailed Report'!P792</f>
        <v>3421360747</v>
      </c>
      <c r="E796" s="106" t="str">
        <f>'Detailed Report'!S792</f>
        <v>Successful</v>
      </c>
      <c r="F796" s="109">
        <f>IF(E796=$E$6,('Detailed Report'!Y792),IF(E796=$E$5,(0),0))</f>
        <v>353.99</v>
      </c>
      <c r="G796" s="106">
        <f>IF(E796=$E$6,('Detailed Report'!AQ792),IF(E796=$E$5,('Detailed Report'!AW792),0))</f>
        <v>310.51754</v>
      </c>
      <c r="H796" s="106">
        <f>'Detailed Report'!AS792</f>
        <v>77.629390000000001</v>
      </c>
      <c r="I796" s="106">
        <f>'Detailed Report'!AT792</f>
        <v>10.8681146</v>
      </c>
      <c r="J796" s="106">
        <f>'Detailed Report'!AO792</f>
        <v>6.1948249999999998</v>
      </c>
      <c r="K796" s="106">
        <f>'Detailed Report'!AP792</f>
        <v>0.86727549999999998</v>
      </c>
      <c r="L796" s="106">
        <f>'Detailed Report'!AU792/1.14</f>
        <v>0</v>
      </c>
      <c r="M796" s="106">
        <f>'Detailed Report'!AU792-L796</f>
        <v>0</v>
      </c>
      <c r="N796" s="110">
        <f>'Detailed Report'!AW792</f>
        <v>258.43</v>
      </c>
      <c r="O796" s="111">
        <f t="shared" si="58"/>
        <v>52.08753999999999</v>
      </c>
      <c r="P796" s="110">
        <f>'Detailed Report'!AM792</f>
        <v>0</v>
      </c>
      <c r="Q796" s="110">
        <f>'Detailed Report'!AN792</f>
        <v>0</v>
      </c>
      <c r="R796" s="110">
        <f>'Detailed Report'!AU792/1.14</f>
        <v>0</v>
      </c>
      <c r="S796" s="110">
        <f>'Detailed Report'!AU792-'........... - Otlob'!R796</f>
        <v>0</v>
      </c>
    </row>
    <row r="797" spans="1:19" x14ac:dyDescent="0.25">
      <c r="A797" s="105">
        <f>+IF(B797="","",SUBTOTAL(3,B$8:B797))</f>
        <v>790</v>
      </c>
      <c r="B797" s="106" t="str">
        <f>'Detailed Report'!O793</f>
        <v>Fuddruckers - New Maadi</v>
      </c>
      <c r="C797" s="107">
        <f>TRUNC('Detailed Report'!Q793,0)</f>
        <v>46048</v>
      </c>
      <c r="D797" s="108">
        <f>'Detailed Report'!P793</f>
        <v>3421371407</v>
      </c>
      <c r="E797" s="106" t="str">
        <f>'Detailed Report'!S793</f>
        <v>Successful</v>
      </c>
      <c r="F797" s="109">
        <f>IF(E797=$E$6,('Detailed Report'!Y793),IF(E797=$E$5,(0),0))</f>
        <v>467.77</v>
      </c>
      <c r="G797" s="106">
        <f>IF(E797=$E$6,('Detailed Report'!AQ793),IF(E797=$E$5,('Detailed Report'!AW793),0))</f>
        <v>410.32456000000002</v>
      </c>
      <c r="H797" s="106">
        <f>'Detailed Report'!AS793</f>
        <v>102.58114</v>
      </c>
      <c r="I797" s="106">
        <f>'Detailed Report'!AT793</f>
        <v>14.3613596</v>
      </c>
      <c r="J797" s="106">
        <f>'Detailed Report'!AO793</f>
        <v>8.1859749999999991</v>
      </c>
      <c r="K797" s="106">
        <f>'Detailed Report'!AP793</f>
        <v>1.1460364999999999</v>
      </c>
      <c r="L797" s="106">
        <f>'Detailed Report'!AU793/1.14</f>
        <v>23.67543859649123</v>
      </c>
      <c r="M797" s="106">
        <f>'Detailed Report'!AU793-L797</f>
        <v>3.3145614035087689</v>
      </c>
      <c r="N797" s="110">
        <f>'Detailed Report'!AW793</f>
        <v>314.505</v>
      </c>
      <c r="O797" s="111">
        <f t="shared" si="58"/>
        <v>95.819560000000024</v>
      </c>
      <c r="P797" s="110">
        <f>'Detailed Report'!AM793</f>
        <v>0</v>
      </c>
      <c r="Q797" s="110">
        <f>'Detailed Report'!AN793</f>
        <v>0</v>
      </c>
      <c r="R797" s="110">
        <f>'Detailed Report'!AU793/1.14</f>
        <v>23.67543859649123</v>
      </c>
      <c r="S797" s="110">
        <f>'Detailed Report'!AU793-'........... - Otlob'!R797</f>
        <v>3.3145614035087689</v>
      </c>
    </row>
    <row r="798" spans="1:19" x14ac:dyDescent="0.25">
      <c r="A798" s="105">
        <f>+IF(B798="","",SUBTOTAL(3,B$8:B798))</f>
        <v>791</v>
      </c>
      <c r="B798" s="106" t="str">
        <f>'Detailed Report'!O794</f>
        <v>Fuddruckers - New Maadi</v>
      </c>
      <c r="C798" s="107">
        <f>TRUNC('Detailed Report'!Q794,0)</f>
        <v>46048</v>
      </c>
      <c r="D798" s="108">
        <f>'Detailed Report'!P794</f>
        <v>3421423156</v>
      </c>
      <c r="E798" s="106" t="str">
        <f>'Detailed Report'!S794</f>
        <v>Successful</v>
      </c>
      <c r="F798" s="109">
        <f>IF(E798=$E$6,('Detailed Report'!Y794),IF(E798=$E$5,(0),0))</f>
        <v>285.67</v>
      </c>
      <c r="G798" s="106">
        <f>IF(E798=$E$6,('Detailed Report'!AQ794),IF(E798=$E$5,('Detailed Report'!AW794),0))</f>
        <v>250.58771999999999</v>
      </c>
      <c r="H798" s="106">
        <f>'Detailed Report'!AS794</f>
        <v>62.646929999999998</v>
      </c>
      <c r="I798" s="106">
        <f>'Detailed Report'!AT794</f>
        <v>8.7705701999999999</v>
      </c>
      <c r="J798" s="106">
        <f>'Detailed Report'!AO794</f>
        <v>4.999225</v>
      </c>
      <c r="K798" s="106">
        <f>'Detailed Report'!AP794</f>
        <v>0.6998915</v>
      </c>
      <c r="L798" s="106">
        <f>'Detailed Report'!AU794/1.14</f>
        <v>23.67543859649123</v>
      </c>
      <c r="M798" s="106">
        <f>'Detailed Report'!AU794-L798</f>
        <v>3.3145614035087689</v>
      </c>
      <c r="N798" s="110">
        <f>'Detailed Report'!AW794</f>
        <v>181.56299999999999</v>
      </c>
      <c r="O798" s="111">
        <f t="shared" si="58"/>
        <v>69.024720000000002</v>
      </c>
      <c r="P798" s="110">
        <f>'Detailed Report'!AM794</f>
        <v>0</v>
      </c>
      <c r="Q798" s="110">
        <f>'Detailed Report'!AN794</f>
        <v>0</v>
      </c>
      <c r="R798" s="110">
        <f>'Detailed Report'!AU794/1.14</f>
        <v>23.67543859649123</v>
      </c>
      <c r="S798" s="110">
        <f>'Detailed Report'!AU794-'........... - Otlob'!R798</f>
        <v>3.3145614035087689</v>
      </c>
    </row>
    <row r="799" spans="1:19" x14ac:dyDescent="0.25">
      <c r="A799" s="105">
        <f>+IF(B799="","",SUBTOTAL(3,B$8:B799))</f>
        <v>792</v>
      </c>
      <c r="B799" s="106" t="str">
        <f>'Detailed Report'!O795</f>
        <v>Fuddruckers - New Maadi</v>
      </c>
      <c r="C799" s="107">
        <f>TRUNC('Detailed Report'!Q795,0)</f>
        <v>46048</v>
      </c>
      <c r="D799" s="108">
        <f>'Detailed Report'!P795</f>
        <v>3421480273</v>
      </c>
      <c r="E799" s="106" t="str">
        <f>'Detailed Report'!S795</f>
        <v>Successful</v>
      </c>
      <c r="F799" s="109">
        <f>IF(E799=$E$6,('Detailed Report'!Y795),IF(E799=$E$5,(0),0))</f>
        <v>624.99</v>
      </c>
      <c r="G799" s="106">
        <f>IF(E799=$E$6,('Detailed Report'!AQ795),IF(E799=$E$5,('Detailed Report'!AW795),0))</f>
        <v>548.23684000000003</v>
      </c>
      <c r="H799" s="106">
        <f>'Detailed Report'!AS795</f>
        <v>137.05921000000001</v>
      </c>
      <c r="I799" s="106">
        <f>'Detailed Report'!AT795</f>
        <v>19.188289399999999</v>
      </c>
      <c r="J799" s="106">
        <f>'Detailed Report'!AO795</f>
        <v>10.937325</v>
      </c>
      <c r="K799" s="106">
        <f>'Detailed Report'!AP795</f>
        <v>1.5312254999999999</v>
      </c>
      <c r="L799" s="106">
        <f>'Detailed Report'!AU795/1.14</f>
        <v>0</v>
      </c>
      <c r="M799" s="106">
        <f>'Detailed Report'!AU795-L799</f>
        <v>0</v>
      </c>
      <c r="N799" s="110">
        <f>'Detailed Report'!AW795</f>
        <v>456.274</v>
      </c>
      <c r="O799" s="111">
        <f t="shared" si="58"/>
        <v>91.962840000000028</v>
      </c>
      <c r="P799" s="110">
        <f>'Detailed Report'!AM795</f>
        <v>0</v>
      </c>
      <c r="Q799" s="110">
        <f>'Detailed Report'!AN795</f>
        <v>0</v>
      </c>
      <c r="R799" s="110">
        <f>'Detailed Report'!AU795/1.14</f>
        <v>0</v>
      </c>
      <c r="S799" s="110">
        <f>'Detailed Report'!AU795-'........... - Otlob'!R799</f>
        <v>0</v>
      </c>
    </row>
    <row r="800" spans="1:19" x14ac:dyDescent="0.25">
      <c r="A800" s="105">
        <f>+IF(B800="","",SUBTOTAL(3,B$8:B800))</f>
        <v>793</v>
      </c>
      <c r="B800" s="106" t="str">
        <f>'Detailed Report'!O796</f>
        <v>Fuddruckers - Concord Plaza Mall</v>
      </c>
      <c r="C800" s="107">
        <f>TRUNC('Detailed Report'!Q796,0)</f>
        <v>46048</v>
      </c>
      <c r="D800" s="108">
        <f>'Detailed Report'!P796</f>
        <v>3421485196</v>
      </c>
      <c r="E800" s="106" t="str">
        <f>'Detailed Report'!S796</f>
        <v>Successful</v>
      </c>
      <c r="F800" s="109">
        <f>IF(E800=$E$6,('Detailed Report'!Y796),IF(E800=$E$5,(0),0))</f>
        <v>353.99</v>
      </c>
      <c r="G800" s="106">
        <f>IF(E800=$E$6,('Detailed Report'!AQ796),IF(E800=$E$5,('Detailed Report'!AW796),0))</f>
        <v>310.51754</v>
      </c>
      <c r="H800" s="106">
        <f>'Detailed Report'!AS796</f>
        <v>77.629390000000001</v>
      </c>
      <c r="I800" s="106">
        <f>'Detailed Report'!AT796</f>
        <v>10.8681146</v>
      </c>
      <c r="J800" s="106">
        <f>'Detailed Report'!AO796</f>
        <v>6.1948249999999998</v>
      </c>
      <c r="K800" s="106">
        <f>'Detailed Report'!AP796</f>
        <v>0.86727549999999998</v>
      </c>
      <c r="L800" s="106">
        <f>'Detailed Report'!AU796/1.14</f>
        <v>31.570175438596497</v>
      </c>
      <c r="M800" s="106">
        <f>'Detailed Report'!AU796-L800</f>
        <v>4.4198245614035052</v>
      </c>
      <c r="N800" s="110">
        <f>'Detailed Report'!AW796</f>
        <v>222.44</v>
      </c>
      <c r="O800" s="111">
        <f t="shared" si="58"/>
        <v>88.077539999999999</v>
      </c>
      <c r="P800" s="110">
        <f>'Detailed Report'!AM796</f>
        <v>0</v>
      </c>
      <c r="Q800" s="110">
        <f>'Detailed Report'!AN796</f>
        <v>0</v>
      </c>
      <c r="R800" s="110">
        <f>'Detailed Report'!AU796/1.14</f>
        <v>31.570175438596497</v>
      </c>
      <c r="S800" s="110">
        <f>'Detailed Report'!AU796-'........... - Otlob'!R800</f>
        <v>4.4198245614035052</v>
      </c>
    </row>
    <row r="801" spans="1:19" x14ac:dyDescent="0.25">
      <c r="A801" s="105">
        <f>+IF(B801="","",SUBTOTAL(3,B$8:B801))</f>
        <v>794</v>
      </c>
      <c r="B801" s="106" t="str">
        <f>'Detailed Report'!O797</f>
        <v>Fuddruckers - Concord Plaza Mall</v>
      </c>
      <c r="C801" s="107">
        <f>TRUNC('Detailed Report'!Q797,0)</f>
        <v>46048</v>
      </c>
      <c r="D801" s="108">
        <f>'Detailed Report'!P797</f>
        <v>3421509488</v>
      </c>
      <c r="E801" s="106" t="str">
        <f>'Detailed Report'!S797</f>
        <v>Successful</v>
      </c>
      <c r="F801" s="109">
        <f>IF(E801=$E$6,('Detailed Report'!Y797),IF(E801=$E$5,(0),0))</f>
        <v>1548.95</v>
      </c>
      <c r="G801" s="106">
        <f>IF(E801=$E$6,('Detailed Report'!AQ797),IF(E801=$E$5,('Detailed Report'!AW797),0))</f>
        <v>1358.7280699999999</v>
      </c>
      <c r="H801" s="106">
        <f>'Detailed Report'!AS797</f>
        <v>339.68202000000002</v>
      </c>
      <c r="I801" s="106">
        <f>'Detailed Report'!AT797</f>
        <v>47.5554828</v>
      </c>
      <c r="J801" s="106">
        <f>'Detailed Report'!AO797</f>
        <v>0</v>
      </c>
      <c r="K801" s="106">
        <f>'Detailed Report'!AP797</f>
        <v>0</v>
      </c>
      <c r="L801" s="106">
        <f>'Detailed Report'!AU797/1.14</f>
        <v>0</v>
      </c>
      <c r="M801" s="106">
        <f>'Detailed Report'!AU797-L801</f>
        <v>0</v>
      </c>
      <c r="N801" s="110">
        <f>'Detailed Report'!AW797</f>
        <v>1161.712</v>
      </c>
      <c r="O801" s="111">
        <f t="shared" si="58"/>
        <v>197.0160699999999</v>
      </c>
      <c r="P801" s="110">
        <f>'Detailed Report'!AM797</f>
        <v>0</v>
      </c>
      <c r="Q801" s="110">
        <f>'Detailed Report'!AN797</f>
        <v>0</v>
      </c>
      <c r="R801" s="110">
        <f>'Detailed Report'!AU797/1.14</f>
        <v>0</v>
      </c>
      <c r="S801" s="110">
        <f>'Detailed Report'!AU797-'........... - Otlob'!R801</f>
        <v>0</v>
      </c>
    </row>
    <row r="802" spans="1:19" x14ac:dyDescent="0.25">
      <c r="A802" s="105">
        <f>+IF(B802="","",SUBTOTAL(3,B$8:B802))</f>
        <v>795</v>
      </c>
      <c r="B802" s="106" t="str">
        <f>'Detailed Report'!O798</f>
        <v>Fuddruckers - New Maadi</v>
      </c>
      <c r="C802" s="107">
        <f>TRUNC('Detailed Report'!Q798,0)</f>
        <v>46048</v>
      </c>
      <c r="D802" s="108">
        <f>'Detailed Report'!P798</f>
        <v>3421540338</v>
      </c>
      <c r="E802" s="106" t="str">
        <f>'Detailed Report'!S798</f>
        <v>Successful</v>
      </c>
      <c r="F802" s="109">
        <f>IF(E802=$E$6,('Detailed Report'!Y798),IF(E802=$E$5,(0),0))</f>
        <v>866.99</v>
      </c>
      <c r="G802" s="106">
        <f>IF(E802=$E$6,('Detailed Report'!AQ798),IF(E802=$E$5,('Detailed Report'!AW798),0))</f>
        <v>760.51754000000005</v>
      </c>
      <c r="H802" s="106">
        <f>'Detailed Report'!AS798</f>
        <v>190.12939</v>
      </c>
      <c r="I802" s="106">
        <f>'Detailed Report'!AT798</f>
        <v>26.618114599999998</v>
      </c>
      <c r="J802" s="106">
        <f>'Detailed Report'!AO798</f>
        <v>15.172325000000001</v>
      </c>
      <c r="K802" s="106">
        <f>'Detailed Report'!AP798</f>
        <v>2.1241254999999999</v>
      </c>
      <c r="L802" s="106">
        <f>'Detailed Report'!AU798/1.14</f>
        <v>25.42982456140351</v>
      </c>
      <c r="M802" s="106">
        <f>'Detailed Report'!AU798-L802</f>
        <v>3.5601754385964881</v>
      </c>
      <c r="N802" s="110">
        <f>'Detailed Report'!AW798</f>
        <v>603.95600000000002</v>
      </c>
      <c r="O802" s="111">
        <f t="shared" si="58"/>
        <v>156.56154000000004</v>
      </c>
      <c r="P802" s="110">
        <f>'Detailed Report'!AM798</f>
        <v>0</v>
      </c>
      <c r="Q802" s="110">
        <f>'Detailed Report'!AN798</f>
        <v>0</v>
      </c>
      <c r="R802" s="110">
        <f>'Detailed Report'!AU798/1.14</f>
        <v>25.42982456140351</v>
      </c>
      <c r="S802" s="110">
        <f>'Detailed Report'!AU798-'........... - Otlob'!R802</f>
        <v>3.5601754385964881</v>
      </c>
    </row>
    <row r="803" spans="1:19" x14ac:dyDescent="0.25">
      <c r="A803" s="105">
        <f>+IF(B803="","",SUBTOTAL(3,B$8:B803))</f>
        <v>796</v>
      </c>
      <c r="B803" s="106" t="str">
        <f>'Detailed Report'!O799</f>
        <v>Fuddruckers - New Maadi</v>
      </c>
      <c r="C803" s="107">
        <f>TRUNC('Detailed Report'!Q799,0)</f>
        <v>46048</v>
      </c>
      <c r="D803" s="108">
        <f>'Detailed Report'!P799</f>
        <v>3421570750</v>
      </c>
      <c r="E803" s="106" t="str">
        <f>'Detailed Report'!S799</f>
        <v>Successful</v>
      </c>
      <c r="F803" s="109">
        <f>IF(E803=$E$6,('Detailed Report'!Y799),IF(E803=$E$5,(0),0))</f>
        <v>645.98</v>
      </c>
      <c r="G803" s="106">
        <f>IF(E803=$E$6,('Detailed Report'!AQ799),IF(E803=$E$5,('Detailed Report'!AW799),0))</f>
        <v>566.64912000000004</v>
      </c>
      <c r="H803" s="106">
        <f>'Detailed Report'!AS799</f>
        <v>141.66228000000001</v>
      </c>
      <c r="I803" s="106">
        <f>'Detailed Report'!AT799</f>
        <v>19.8327192</v>
      </c>
      <c r="J803" s="106">
        <f>'Detailed Report'!AO799</f>
        <v>0</v>
      </c>
      <c r="K803" s="106">
        <f>'Detailed Report'!AP799</f>
        <v>0</v>
      </c>
      <c r="L803" s="106">
        <f>'Detailed Report'!AU799/1.14</f>
        <v>23.67543859649123</v>
      </c>
      <c r="M803" s="106">
        <f>'Detailed Report'!AU799-L803</f>
        <v>3.3145614035087689</v>
      </c>
      <c r="N803" s="110">
        <f>'Detailed Report'!AW799</f>
        <v>457.495</v>
      </c>
      <c r="O803" s="111">
        <f t="shared" si="58"/>
        <v>109.15412000000003</v>
      </c>
      <c r="P803" s="110">
        <f>'Detailed Report'!AM799</f>
        <v>0</v>
      </c>
      <c r="Q803" s="110">
        <f>'Detailed Report'!AN799</f>
        <v>0</v>
      </c>
      <c r="R803" s="110">
        <f>'Detailed Report'!AU799/1.14</f>
        <v>23.67543859649123</v>
      </c>
      <c r="S803" s="110">
        <f>'Detailed Report'!AU799-'........... - Otlob'!R803</f>
        <v>3.3145614035087689</v>
      </c>
    </row>
    <row r="804" spans="1:19" x14ac:dyDescent="0.25">
      <c r="A804" s="105">
        <f>+IF(B804="","",SUBTOTAL(3,B$8:B804))</f>
        <v>797</v>
      </c>
      <c r="B804" s="106" t="str">
        <f>'Detailed Report'!O800</f>
        <v>Fuddruckers - Concord Plaza Mall</v>
      </c>
      <c r="C804" s="107">
        <f>TRUNC('Detailed Report'!Q800,0)</f>
        <v>46048</v>
      </c>
      <c r="D804" s="108">
        <f>'Detailed Report'!P800</f>
        <v>3421600293</v>
      </c>
      <c r="E804" s="106" t="str">
        <f>'Detailed Report'!S800</f>
        <v>Successful</v>
      </c>
      <c r="F804" s="109">
        <f>IF(E804=$E$6,('Detailed Report'!Y800),IF(E804=$E$5,(0),0))</f>
        <v>211.99</v>
      </c>
      <c r="G804" s="106">
        <f>IF(E804=$E$6,('Detailed Report'!AQ800),IF(E804=$E$5,('Detailed Report'!AW800),0))</f>
        <v>185.95614</v>
      </c>
      <c r="H804" s="106">
        <f>'Detailed Report'!AS800</f>
        <v>46.489040000000003</v>
      </c>
      <c r="I804" s="106">
        <f>'Detailed Report'!AT800</f>
        <v>6.5084656000000001</v>
      </c>
      <c r="J804" s="106">
        <f>'Detailed Report'!AO800</f>
        <v>3.7098249999999999</v>
      </c>
      <c r="K804" s="106">
        <f>'Detailed Report'!AP800</f>
        <v>0.51937549999999999</v>
      </c>
      <c r="L804" s="106">
        <f>'Detailed Report'!AU800/1.14</f>
        <v>0</v>
      </c>
      <c r="M804" s="106">
        <f>'Detailed Report'!AU800-L804</f>
        <v>0</v>
      </c>
      <c r="N804" s="110">
        <f>'Detailed Report'!AW800</f>
        <v>154.76300000000001</v>
      </c>
      <c r="O804" s="111">
        <f t="shared" si="58"/>
        <v>31.19314</v>
      </c>
      <c r="P804" s="110">
        <f>'Detailed Report'!AM800</f>
        <v>0</v>
      </c>
      <c r="Q804" s="110">
        <f>'Detailed Report'!AN800</f>
        <v>0</v>
      </c>
      <c r="R804" s="110">
        <f>'Detailed Report'!AU800/1.14</f>
        <v>0</v>
      </c>
      <c r="S804" s="110">
        <f>'Detailed Report'!AU800-'........... - Otlob'!R804</f>
        <v>0</v>
      </c>
    </row>
    <row r="805" spans="1:19" x14ac:dyDescent="0.25">
      <c r="A805" s="105">
        <f>+IF(B805="","",SUBTOTAL(3,B$8:B805))</f>
        <v>798</v>
      </c>
      <c r="B805" s="106" t="str">
        <f>'Detailed Report'!O801</f>
        <v>Fuddruckers - Concord Plaza Mall</v>
      </c>
      <c r="C805" s="107">
        <f>TRUNC('Detailed Report'!Q801,0)</f>
        <v>46048</v>
      </c>
      <c r="D805" s="108">
        <f>'Detailed Report'!P801</f>
        <v>3421622135</v>
      </c>
      <c r="E805" s="106" t="str">
        <f>'Detailed Report'!S801</f>
        <v>Successful</v>
      </c>
      <c r="F805" s="109">
        <f>IF(E805=$E$6,('Detailed Report'!Y801),IF(E805=$E$5,(0),0))</f>
        <v>150.93</v>
      </c>
      <c r="G805" s="106">
        <f>IF(E805=$E$6,('Detailed Report'!AQ801),IF(E805=$E$5,('Detailed Report'!AW801),0))</f>
        <v>132.39474000000001</v>
      </c>
      <c r="H805" s="106">
        <f>'Detailed Report'!AS801</f>
        <v>33.098689999999998</v>
      </c>
      <c r="I805" s="106">
        <f>'Detailed Report'!AT801</f>
        <v>4.6338166000000003</v>
      </c>
      <c r="J805" s="106">
        <f>'Detailed Report'!AO801</f>
        <v>2.6412749999999998</v>
      </c>
      <c r="K805" s="106">
        <f>'Detailed Report'!AP801</f>
        <v>0.36977850000000001</v>
      </c>
      <c r="L805" s="106">
        <f>'Detailed Report'!AU801/1.14</f>
        <v>0</v>
      </c>
      <c r="M805" s="106">
        <f>'Detailed Report'!AU801-L805</f>
        <v>0</v>
      </c>
      <c r="N805" s="110">
        <f>'Detailed Report'!AW801</f>
        <v>110.18600000000001</v>
      </c>
      <c r="O805" s="111">
        <f t="shared" si="58"/>
        <v>22.208740000000006</v>
      </c>
      <c r="P805" s="110">
        <f>'Detailed Report'!AM801</f>
        <v>0</v>
      </c>
      <c r="Q805" s="110">
        <f>'Detailed Report'!AN801</f>
        <v>0</v>
      </c>
      <c r="R805" s="110">
        <f>'Detailed Report'!AU801/1.14</f>
        <v>0</v>
      </c>
      <c r="S805" s="110">
        <f>'Detailed Report'!AU801-'........... - Otlob'!R805</f>
        <v>0</v>
      </c>
    </row>
    <row r="806" spans="1:19" x14ac:dyDescent="0.25">
      <c r="A806" s="105">
        <f>+IF(B806="","",SUBTOTAL(3,B$8:B806))</f>
        <v>799</v>
      </c>
      <c r="B806" s="106" t="str">
        <f>'Detailed Report'!O802</f>
        <v>Fuddruckers - New Maadi</v>
      </c>
      <c r="C806" s="107">
        <f>TRUNC('Detailed Report'!Q802,0)</f>
        <v>46048</v>
      </c>
      <c r="D806" s="108">
        <f>'Detailed Report'!P802</f>
        <v>3421646133</v>
      </c>
      <c r="E806" s="106" t="str">
        <f>'Detailed Report'!S802</f>
        <v>Successful</v>
      </c>
      <c r="F806" s="109">
        <f>IF(E806=$E$6,('Detailed Report'!Y802),IF(E806=$E$5,(0),0))</f>
        <v>2342.7800000000002</v>
      </c>
      <c r="G806" s="106">
        <f>IF(E806=$E$6,('Detailed Report'!AQ802),IF(E806=$E$5,('Detailed Report'!AW802),0))</f>
        <v>2055.0701800000002</v>
      </c>
      <c r="H806" s="106">
        <f>'Detailed Report'!AS802</f>
        <v>513.76755000000003</v>
      </c>
      <c r="I806" s="106">
        <f>'Detailed Report'!AT802</f>
        <v>71.927457000000004</v>
      </c>
      <c r="J806" s="106">
        <f>'Detailed Report'!AO802</f>
        <v>40.998649999999998</v>
      </c>
      <c r="K806" s="106">
        <f>'Detailed Report'!AP802</f>
        <v>5.7398110000000004</v>
      </c>
      <c r="L806" s="106">
        <f>'Detailed Report'!AU802/1.14</f>
        <v>26.307017543859651</v>
      </c>
      <c r="M806" s="106">
        <f>'Detailed Report'!AU802-L806</f>
        <v>3.6829824561403477</v>
      </c>
      <c r="N806" s="110">
        <f>'Detailed Report'!AW802</f>
        <v>1646.1569999999999</v>
      </c>
      <c r="O806" s="111">
        <f t="shared" si="58"/>
        <v>408.91318000000024</v>
      </c>
      <c r="P806" s="110">
        <f>'Detailed Report'!AM802</f>
        <v>30</v>
      </c>
      <c r="Q806" s="110">
        <f>'Detailed Report'!AN802</f>
        <v>4.2</v>
      </c>
      <c r="R806" s="110">
        <f>'Detailed Report'!AU802/1.14</f>
        <v>26.307017543859651</v>
      </c>
      <c r="S806" s="110">
        <f>'Detailed Report'!AU802-'........... - Otlob'!R806</f>
        <v>3.6829824561403477</v>
      </c>
    </row>
    <row r="807" spans="1:19" x14ac:dyDescent="0.25">
      <c r="A807" s="105">
        <f>+IF(B807="","",SUBTOTAL(3,B$8:B807))</f>
        <v>800</v>
      </c>
      <c r="B807" s="106" t="str">
        <f>'Detailed Report'!O803</f>
        <v>Fuddruckers - City Stars</v>
      </c>
      <c r="C807" s="107">
        <f>TRUNC('Detailed Report'!Q803,0)</f>
        <v>46048</v>
      </c>
      <c r="D807" s="108">
        <f>'Detailed Report'!P803</f>
        <v>3421661884</v>
      </c>
      <c r="E807" s="106" t="str">
        <f>'Detailed Report'!S803</f>
        <v>Successful</v>
      </c>
      <c r="F807" s="109">
        <f>IF(E807=$E$6,('Detailed Report'!Y803),IF(E807=$E$5,(0),0))</f>
        <v>269.99</v>
      </c>
      <c r="G807" s="106">
        <f>IF(E807=$E$6,('Detailed Report'!AQ803),IF(E807=$E$5,('Detailed Report'!AW803),0))</f>
        <v>236.83332999999999</v>
      </c>
      <c r="H807" s="106">
        <f>'Detailed Report'!AS803</f>
        <v>59.208329999999997</v>
      </c>
      <c r="I807" s="106">
        <f>'Detailed Report'!AT803</f>
        <v>8.2891662000000004</v>
      </c>
      <c r="J807" s="106">
        <f>'Detailed Report'!AO803</f>
        <v>4.7248250000000001</v>
      </c>
      <c r="K807" s="106">
        <f>'Detailed Report'!AP803</f>
        <v>0.66147549999999999</v>
      </c>
      <c r="L807" s="106">
        <f>'Detailed Report'!AU803/1.14</f>
        <v>0</v>
      </c>
      <c r="M807" s="106">
        <f>'Detailed Report'!AU803-L807</f>
        <v>0</v>
      </c>
      <c r="N807" s="110">
        <f>'Detailed Report'!AW803</f>
        <v>162.90600000000001</v>
      </c>
      <c r="O807" s="111">
        <f t="shared" si="58"/>
        <v>73.927329999999984</v>
      </c>
      <c r="P807" s="110">
        <f>'Detailed Report'!AM803</f>
        <v>30</v>
      </c>
      <c r="Q807" s="110">
        <f>'Detailed Report'!AN803</f>
        <v>4.2</v>
      </c>
      <c r="R807" s="110">
        <f>'Detailed Report'!AU803/1.14</f>
        <v>0</v>
      </c>
      <c r="S807" s="110">
        <f>'Detailed Report'!AU803-'........... - Otlob'!R807</f>
        <v>0</v>
      </c>
    </row>
    <row r="808" spans="1:19" x14ac:dyDescent="0.25">
      <c r="A808" s="105">
        <f>+IF(B808="","",SUBTOTAL(3,B$8:B808))</f>
        <v>801</v>
      </c>
      <c r="B808" s="106" t="str">
        <f>'Detailed Report'!O804</f>
        <v>Fuddruckers - New Maadi</v>
      </c>
      <c r="C808" s="107">
        <f>TRUNC('Detailed Report'!Q804,0)</f>
        <v>46048</v>
      </c>
      <c r="D808" s="108">
        <f>'Detailed Report'!P804</f>
        <v>3421663785</v>
      </c>
      <c r="E808" s="106" t="str">
        <f>'Detailed Report'!S804</f>
        <v>Successful</v>
      </c>
      <c r="F808" s="109">
        <f>IF(E808=$E$6,('Detailed Report'!Y804),IF(E808=$E$5,(0),0))</f>
        <v>352</v>
      </c>
      <c r="G808" s="106">
        <f>IF(E808=$E$6,('Detailed Report'!AQ804),IF(E808=$E$5,('Detailed Report'!AW804),0))</f>
        <v>308.77193</v>
      </c>
      <c r="H808" s="106">
        <f>'Detailed Report'!AS804</f>
        <v>77.192980000000006</v>
      </c>
      <c r="I808" s="106">
        <f>'Detailed Report'!AT804</f>
        <v>10.807017200000001</v>
      </c>
      <c r="J808" s="106">
        <f>'Detailed Report'!AO804</f>
        <v>6.16</v>
      </c>
      <c r="K808" s="106">
        <f>'Detailed Report'!AP804</f>
        <v>0.86240000000000006</v>
      </c>
      <c r="L808" s="106">
        <f>'Detailed Report'!AU804/1.14</f>
        <v>0</v>
      </c>
      <c r="M808" s="106">
        <f>'Detailed Report'!AU804-L808</f>
        <v>0</v>
      </c>
      <c r="N808" s="110">
        <f>'Detailed Report'!AW804</f>
        <v>256.97800000000001</v>
      </c>
      <c r="O808" s="111">
        <f t="shared" si="58"/>
        <v>51.793929999999989</v>
      </c>
      <c r="P808" s="110">
        <f>'Detailed Report'!AM804</f>
        <v>0</v>
      </c>
      <c r="Q808" s="110">
        <f>'Detailed Report'!AN804</f>
        <v>0</v>
      </c>
      <c r="R808" s="110">
        <f>'Detailed Report'!AU804/1.14</f>
        <v>0</v>
      </c>
      <c r="S808" s="110">
        <f>'Detailed Report'!AU804-'........... - Otlob'!R808</f>
        <v>0</v>
      </c>
    </row>
    <row r="809" spans="1:19" x14ac:dyDescent="0.25">
      <c r="A809" s="105">
        <f>+IF(B809="","",SUBTOTAL(3,B$8:B809))</f>
        <v>802</v>
      </c>
      <c r="B809" s="106" t="str">
        <f>'Detailed Report'!O805</f>
        <v>Fuddruckers - Concord Plaza Mall</v>
      </c>
      <c r="C809" s="107">
        <f>TRUNC('Detailed Report'!Q805,0)</f>
        <v>46048</v>
      </c>
      <c r="D809" s="108">
        <f>'Detailed Report'!P805</f>
        <v>3421736590</v>
      </c>
      <c r="E809" s="106" t="str">
        <f>'Detailed Report'!S805</f>
        <v>Successful</v>
      </c>
      <c r="F809" s="109">
        <f>IF(E809=$E$6,('Detailed Report'!Y805),IF(E809=$E$5,(0),0))</f>
        <v>710.98</v>
      </c>
      <c r="G809" s="106">
        <f>IF(E809=$E$6,('Detailed Report'!AQ805),IF(E809=$E$5,('Detailed Report'!AW805),0))</f>
        <v>623.66666999999995</v>
      </c>
      <c r="H809" s="106">
        <f>'Detailed Report'!AS805</f>
        <v>155.91667000000001</v>
      </c>
      <c r="I809" s="106">
        <f>'Detailed Report'!AT805</f>
        <v>21.828333799999999</v>
      </c>
      <c r="J809" s="106">
        <f>'Detailed Report'!AO805</f>
        <v>12.44215</v>
      </c>
      <c r="K809" s="106">
        <f>'Detailed Report'!AP805</f>
        <v>1.7419009999999999</v>
      </c>
      <c r="L809" s="106">
        <f>'Detailed Report'!AU805/1.14</f>
        <v>0</v>
      </c>
      <c r="M809" s="106">
        <f>'Detailed Report'!AU805-L809</f>
        <v>0</v>
      </c>
      <c r="N809" s="110">
        <f>'Detailed Report'!AW805</f>
        <v>519.05100000000004</v>
      </c>
      <c r="O809" s="111">
        <f t="shared" si="58"/>
        <v>104.61566999999991</v>
      </c>
      <c r="P809" s="110">
        <f>'Detailed Report'!AM805</f>
        <v>0</v>
      </c>
      <c r="Q809" s="110">
        <f>'Detailed Report'!AN805</f>
        <v>0</v>
      </c>
      <c r="R809" s="110">
        <f>'Detailed Report'!AU805/1.14</f>
        <v>0</v>
      </c>
      <c r="S809" s="110">
        <f>'Detailed Report'!AU805-'........... - Otlob'!R809</f>
        <v>0</v>
      </c>
    </row>
    <row r="810" spans="1:19" x14ac:dyDescent="0.25">
      <c r="A810" s="105">
        <f>+IF(B810="","",SUBTOTAL(3,B$8:B810))</f>
        <v>803</v>
      </c>
      <c r="B810" s="106" t="str">
        <f>'Detailed Report'!O806</f>
        <v>Fuddruckers - Concord Plaza Mall</v>
      </c>
      <c r="C810" s="107">
        <f>TRUNC('Detailed Report'!Q806,0)</f>
        <v>46048</v>
      </c>
      <c r="D810" s="108">
        <f>'Detailed Report'!P806</f>
        <v>3421781123</v>
      </c>
      <c r="E810" s="106" t="str">
        <f>'Detailed Report'!S806</f>
        <v>Charged Cancelled</v>
      </c>
      <c r="F810" s="109">
        <f>IF(E810=$E$6,('Detailed Report'!Y806),IF(E810=$E$5,(0),0))</f>
        <v>0</v>
      </c>
      <c r="G810" s="106">
        <f>IF(E810=$E$6,('Detailed Report'!AQ806),IF(E810=$E$5,('Detailed Report'!AW806),0))</f>
        <v>-255.62200000000001</v>
      </c>
      <c r="H810" s="106">
        <f>'Detailed Report'!AS806</f>
        <v>224.23025999999999</v>
      </c>
      <c r="I810" s="106">
        <f>'Detailed Report'!AT806</f>
        <v>31.392236400000002</v>
      </c>
      <c r="J810" s="106">
        <f>'Detailed Report'!AO806</f>
        <v>0</v>
      </c>
      <c r="K810" s="106">
        <f>'Detailed Report'!AP806</f>
        <v>0</v>
      </c>
      <c r="L810" s="106">
        <f>'Detailed Report'!AU806/1.14</f>
        <v>0</v>
      </c>
      <c r="M810" s="106">
        <f>'Detailed Report'!AU806-L810</f>
        <v>0</v>
      </c>
      <c r="N810" s="110">
        <f>'Detailed Report'!AW806</f>
        <v>-255.62200000000001</v>
      </c>
      <c r="O810" s="111">
        <f t="shared" si="58"/>
        <v>0</v>
      </c>
      <c r="P810" s="110">
        <f>'Detailed Report'!AM806</f>
        <v>0</v>
      </c>
      <c r="Q810" s="110">
        <f>'Detailed Report'!AN806</f>
        <v>0</v>
      </c>
      <c r="R810" s="110">
        <f>'Detailed Report'!AU806/1.14</f>
        <v>0</v>
      </c>
      <c r="S810" s="110">
        <f>'Detailed Report'!AU806-'........... - Otlob'!R810</f>
        <v>0</v>
      </c>
    </row>
    <row r="811" spans="1:19" x14ac:dyDescent="0.25">
      <c r="A811" s="105">
        <f>+IF(B811="","",SUBTOTAL(3,B$8:B811))</f>
        <v>804</v>
      </c>
      <c r="B811" s="106" t="str">
        <f>'Detailed Report'!O807</f>
        <v>Fuddruckers - New Maadi</v>
      </c>
      <c r="C811" s="107">
        <f>TRUNC('Detailed Report'!Q807,0)</f>
        <v>46049</v>
      </c>
      <c r="D811" s="108">
        <f>'Detailed Report'!P807</f>
        <v>3422281154</v>
      </c>
      <c r="E811" s="106" t="str">
        <f>'Detailed Report'!S807</f>
        <v>Successful</v>
      </c>
      <c r="F811" s="109">
        <f>IF(E811=$E$6,('Detailed Report'!Y807),IF(E811=$E$5,(0),0))</f>
        <v>239.99</v>
      </c>
      <c r="G811" s="106">
        <f>IF(E811=$E$6,('Detailed Report'!AQ807),IF(E811=$E$5,('Detailed Report'!AW807),0))</f>
        <v>210.51754</v>
      </c>
      <c r="H811" s="106">
        <f>'Detailed Report'!AS807</f>
        <v>52.629390000000001</v>
      </c>
      <c r="I811" s="106">
        <f>'Detailed Report'!AT807</f>
        <v>7.3681146000000002</v>
      </c>
      <c r="J811" s="106">
        <f>'Detailed Report'!AO807</f>
        <v>0</v>
      </c>
      <c r="K811" s="106">
        <f>'Detailed Report'!AP807</f>
        <v>0</v>
      </c>
      <c r="L811" s="106">
        <f>'Detailed Report'!AU807/1.14</f>
        <v>0</v>
      </c>
      <c r="M811" s="106">
        <f>'Detailed Report'!AU807-L811</f>
        <v>0</v>
      </c>
      <c r="N811" s="110">
        <f>'Detailed Report'!AW807</f>
        <v>179.99199999999999</v>
      </c>
      <c r="O811" s="111">
        <f t="shared" si="58"/>
        <v>30.525540000000007</v>
      </c>
      <c r="P811" s="110">
        <f>'Detailed Report'!AM807</f>
        <v>0</v>
      </c>
      <c r="Q811" s="110">
        <f>'Detailed Report'!AN807</f>
        <v>0</v>
      </c>
      <c r="R811" s="110">
        <f>'Detailed Report'!AU807/1.14</f>
        <v>0</v>
      </c>
      <c r="S811" s="110">
        <f>'Detailed Report'!AU807-'........... - Otlob'!R811</f>
        <v>0</v>
      </c>
    </row>
    <row r="812" spans="1:19" x14ac:dyDescent="0.25">
      <c r="A812" s="105">
        <f>+IF(B812="","",SUBTOTAL(3,B$8:B812))</f>
        <v>805</v>
      </c>
      <c r="B812" s="106" t="str">
        <f>'Detailed Report'!O808</f>
        <v>Fuddruckers - Concord Plaza Mall</v>
      </c>
      <c r="C812" s="107">
        <f>TRUNC('Detailed Report'!Q808,0)</f>
        <v>46049</v>
      </c>
      <c r="D812" s="108">
        <f>'Detailed Report'!P808</f>
        <v>3422517107</v>
      </c>
      <c r="E812" s="106" t="str">
        <f>'Detailed Report'!S808</f>
        <v>Successful</v>
      </c>
      <c r="F812" s="109">
        <f>IF(E812=$E$6,('Detailed Report'!Y808),IF(E812=$E$5,(0),0))</f>
        <v>1018.97</v>
      </c>
      <c r="G812" s="106">
        <f>IF(E812=$E$6,('Detailed Report'!AQ808),IF(E812=$E$5,('Detailed Report'!AW808),0))</f>
        <v>893.83333000000005</v>
      </c>
      <c r="H812" s="106">
        <f>'Detailed Report'!AS808</f>
        <v>223.45832999999999</v>
      </c>
      <c r="I812" s="106">
        <f>'Detailed Report'!AT808</f>
        <v>31.284166200000001</v>
      </c>
      <c r="J812" s="106">
        <f>'Detailed Report'!AO808</f>
        <v>17.831975</v>
      </c>
      <c r="K812" s="106">
        <f>'Detailed Report'!AP808</f>
        <v>2.4964765</v>
      </c>
      <c r="L812" s="106">
        <f>'Detailed Report'!AU808/1.14</f>
        <v>0</v>
      </c>
      <c r="M812" s="106">
        <f>'Detailed Report'!AU808-L812</f>
        <v>0</v>
      </c>
      <c r="N812" s="110">
        <f>'Detailed Report'!AW808</f>
        <v>709.69899999999996</v>
      </c>
      <c r="O812" s="111">
        <f t="shared" si="58"/>
        <v>184.13433000000009</v>
      </c>
      <c r="P812" s="110">
        <f>'Detailed Report'!AM808</f>
        <v>30</v>
      </c>
      <c r="Q812" s="110">
        <f>'Detailed Report'!AN808</f>
        <v>4.2</v>
      </c>
      <c r="R812" s="110">
        <f>'Detailed Report'!AU808/1.14</f>
        <v>0</v>
      </c>
      <c r="S812" s="110">
        <f>'Detailed Report'!AU808-'........... - Otlob'!R812</f>
        <v>0</v>
      </c>
    </row>
    <row r="813" spans="1:19" x14ac:dyDescent="0.25">
      <c r="A813" s="105">
        <f>+IF(B813="","",SUBTOTAL(3,B$8:B813))</f>
        <v>806</v>
      </c>
      <c r="B813" s="106" t="str">
        <f>'Detailed Report'!O809</f>
        <v>Fuddruckers - Concord Plaza Mall</v>
      </c>
      <c r="C813" s="107">
        <f>TRUNC('Detailed Report'!Q809,0)</f>
        <v>46049</v>
      </c>
      <c r="D813" s="108">
        <f>'Detailed Report'!P809</f>
        <v>3422518570</v>
      </c>
      <c r="E813" s="106" t="str">
        <f>'Detailed Report'!S809</f>
        <v>Successful</v>
      </c>
      <c r="F813" s="109">
        <f>IF(E813=$E$6,('Detailed Report'!Y809),IF(E813=$E$5,(0),0))</f>
        <v>940.53</v>
      </c>
      <c r="G813" s="106">
        <f>IF(E813=$E$6,('Detailed Report'!AQ809),IF(E813=$E$5,('Detailed Report'!AW809),0))</f>
        <v>825.02632000000006</v>
      </c>
      <c r="H813" s="106">
        <f>'Detailed Report'!AS809</f>
        <v>206.25658000000001</v>
      </c>
      <c r="I813" s="106">
        <f>'Detailed Report'!AT809</f>
        <v>28.875921200000001</v>
      </c>
      <c r="J813" s="106">
        <f>'Detailed Report'!AO809</f>
        <v>16.459275000000002</v>
      </c>
      <c r="K813" s="106">
        <f>'Detailed Report'!AP809</f>
        <v>2.3042984999999998</v>
      </c>
      <c r="L813" s="106">
        <f>'Detailed Report'!AU809/1.14</f>
        <v>27.184210526315791</v>
      </c>
      <c r="M813" s="106">
        <f>'Detailed Report'!AU809-L813</f>
        <v>3.8057894736842073</v>
      </c>
      <c r="N813" s="110">
        <f>'Detailed Report'!AW809</f>
        <v>655.64400000000001</v>
      </c>
      <c r="O813" s="111">
        <f t="shared" si="58"/>
        <v>169.38232000000005</v>
      </c>
      <c r="P813" s="110">
        <f>'Detailed Report'!AM809</f>
        <v>0</v>
      </c>
      <c r="Q813" s="110">
        <f>'Detailed Report'!AN809</f>
        <v>0</v>
      </c>
      <c r="R813" s="110">
        <f>'Detailed Report'!AU809/1.14</f>
        <v>27.184210526315791</v>
      </c>
      <c r="S813" s="110">
        <f>'Detailed Report'!AU809-'........... - Otlob'!R813</f>
        <v>3.8057894736842073</v>
      </c>
    </row>
    <row r="814" spans="1:19" x14ac:dyDescent="0.25">
      <c r="A814" s="105">
        <f>+IF(B814="","",SUBTOTAL(3,B$8:B814))</f>
        <v>807</v>
      </c>
      <c r="B814" s="106" t="str">
        <f>'Detailed Report'!O810</f>
        <v>Fuddruckers - New Maadi</v>
      </c>
      <c r="C814" s="107">
        <f>TRUNC('Detailed Report'!Q810,0)</f>
        <v>46049</v>
      </c>
      <c r="D814" s="108">
        <f>'Detailed Report'!P810</f>
        <v>3422525691</v>
      </c>
      <c r="E814" s="106" t="str">
        <f>'Detailed Report'!S810</f>
        <v>Successful</v>
      </c>
      <c r="F814" s="109">
        <f>IF(E814=$E$6,('Detailed Report'!Y810),IF(E814=$E$5,(0),0))</f>
        <v>352.99</v>
      </c>
      <c r="G814" s="106">
        <f>IF(E814=$E$6,('Detailed Report'!AQ810),IF(E814=$E$5,('Detailed Report'!AW810),0))</f>
        <v>309.64035000000001</v>
      </c>
      <c r="H814" s="106">
        <f>'Detailed Report'!AS810</f>
        <v>77.410089999999997</v>
      </c>
      <c r="I814" s="106">
        <f>'Detailed Report'!AT810</f>
        <v>10.8374126</v>
      </c>
      <c r="J814" s="106">
        <f>'Detailed Report'!AO810</f>
        <v>6.1773249999999997</v>
      </c>
      <c r="K814" s="106">
        <f>'Detailed Report'!AP810</f>
        <v>0.86482550000000002</v>
      </c>
      <c r="L814" s="106">
        <f>'Detailed Report'!AU810/1.14</f>
        <v>25.42982456140351</v>
      </c>
      <c r="M814" s="106">
        <f>'Detailed Report'!AU810-L814</f>
        <v>3.5601754385964881</v>
      </c>
      <c r="N814" s="110">
        <f>'Detailed Report'!AW810</f>
        <v>228.71</v>
      </c>
      <c r="O814" s="111">
        <f t="shared" si="58"/>
        <v>80.930350000000004</v>
      </c>
      <c r="P814" s="110">
        <f>'Detailed Report'!AM810</f>
        <v>0</v>
      </c>
      <c r="Q814" s="110">
        <f>'Detailed Report'!AN810</f>
        <v>0</v>
      </c>
      <c r="R814" s="110">
        <f>'Detailed Report'!AU810/1.14</f>
        <v>25.42982456140351</v>
      </c>
      <c r="S814" s="110">
        <f>'Detailed Report'!AU810-'........... - Otlob'!R814</f>
        <v>3.5601754385964881</v>
      </c>
    </row>
    <row r="815" spans="1:19" x14ac:dyDescent="0.25">
      <c r="A815" s="105">
        <f>+IF(B815="","",SUBTOTAL(3,B$8:B815))</f>
        <v>808</v>
      </c>
      <c r="B815" s="106" t="str">
        <f>'Detailed Report'!O811</f>
        <v>Fuddruckers - City Stars</v>
      </c>
      <c r="C815" s="107">
        <f>TRUNC('Detailed Report'!Q811,0)</f>
        <v>46049</v>
      </c>
      <c r="D815" s="108">
        <f>'Detailed Report'!P811</f>
        <v>3422547517</v>
      </c>
      <c r="E815" s="106" t="str">
        <f>'Detailed Report'!S811</f>
        <v>Successful</v>
      </c>
      <c r="F815" s="109">
        <f>IF(E815=$E$6,('Detailed Report'!Y811),IF(E815=$E$5,(0),0))</f>
        <v>1306.46</v>
      </c>
      <c r="G815" s="106">
        <f>IF(E815=$E$6,('Detailed Report'!AQ811),IF(E815=$E$5,('Detailed Report'!AW811),0))</f>
        <v>1146.0175400000001</v>
      </c>
      <c r="H815" s="106">
        <f>'Detailed Report'!AS811</f>
        <v>286.50439</v>
      </c>
      <c r="I815" s="106">
        <f>'Detailed Report'!AT811</f>
        <v>40.110614599999998</v>
      </c>
      <c r="J815" s="106">
        <f>'Detailed Report'!AO811</f>
        <v>22.863048249999999</v>
      </c>
      <c r="K815" s="106">
        <f>'Detailed Report'!AP811</f>
        <v>3.200826755</v>
      </c>
      <c r="L815" s="106">
        <f>'Detailed Report'!AU811/1.14</f>
        <v>0</v>
      </c>
      <c r="M815" s="106">
        <f>'Detailed Report'!AU811-L815</f>
        <v>0</v>
      </c>
      <c r="N815" s="110">
        <f>'Detailed Report'!AW811</f>
        <v>953.78099999999995</v>
      </c>
      <c r="O815" s="111">
        <f t="shared" si="58"/>
        <v>192.2365400000001</v>
      </c>
      <c r="P815" s="110">
        <f>'Detailed Report'!AM811</f>
        <v>0</v>
      </c>
      <c r="Q815" s="110">
        <f>'Detailed Report'!AN811</f>
        <v>0</v>
      </c>
      <c r="R815" s="110">
        <f>'Detailed Report'!AU811/1.14</f>
        <v>0</v>
      </c>
      <c r="S815" s="110">
        <f>'Detailed Report'!AU811-'........... - Otlob'!R815</f>
        <v>0</v>
      </c>
    </row>
    <row r="816" spans="1:19" x14ac:dyDescent="0.25">
      <c r="A816" s="105">
        <f>+IF(B816="","",SUBTOTAL(3,B$8:B816))</f>
        <v>809</v>
      </c>
      <c r="B816" s="106" t="str">
        <f>'Detailed Report'!O812</f>
        <v>Fuddruckers - Concord Plaza Mall</v>
      </c>
      <c r="C816" s="107">
        <f>TRUNC('Detailed Report'!Q812,0)</f>
        <v>46049</v>
      </c>
      <c r="D816" s="108">
        <f>'Detailed Report'!P812</f>
        <v>3422598941</v>
      </c>
      <c r="E816" s="106" t="str">
        <f>'Detailed Report'!S812</f>
        <v>Successful</v>
      </c>
      <c r="F816" s="109">
        <f>IF(E816=$E$6,('Detailed Report'!Y812),IF(E816=$E$5,(0),0))</f>
        <v>835.64</v>
      </c>
      <c r="G816" s="106">
        <f>IF(E816=$E$6,('Detailed Report'!AQ812),IF(E816=$E$5,('Detailed Report'!AW812),0))</f>
        <v>733.01754000000005</v>
      </c>
      <c r="H816" s="106">
        <f>'Detailed Report'!AS812</f>
        <v>183.25439</v>
      </c>
      <c r="I816" s="106">
        <f>'Detailed Report'!AT812</f>
        <v>25.6556146</v>
      </c>
      <c r="J816" s="106">
        <f>'Detailed Report'!AO812</f>
        <v>14.623699999999999</v>
      </c>
      <c r="K816" s="106">
        <f>'Detailed Report'!AP812</f>
        <v>2.0473180000000002</v>
      </c>
      <c r="L816" s="106">
        <f>'Detailed Report'!AU812/1.14</f>
        <v>0</v>
      </c>
      <c r="M816" s="106">
        <f>'Detailed Report'!AU812-L816</f>
        <v>0</v>
      </c>
      <c r="N816" s="110">
        <f>'Detailed Report'!AW812</f>
        <v>610.05899999999997</v>
      </c>
      <c r="O816" s="111">
        <f t="shared" si="58"/>
        <v>122.95854000000008</v>
      </c>
      <c r="P816" s="110">
        <f>'Detailed Report'!AM812</f>
        <v>0</v>
      </c>
      <c r="Q816" s="110">
        <f>'Detailed Report'!AN812</f>
        <v>0</v>
      </c>
      <c r="R816" s="110">
        <f>'Detailed Report'!AU812/1.14</f>
        <v>0</v>
      </c>
      <c r="S816" s="110">
        <f>'Detailed Report'!AU812-'........... - Otlob'!R816</f>
        <v>0</v>
      </c>
    </row>
    <row r="817" spans="1:19" x14ac:dyDescent="0.25">
      <c r="A817" s="105">
        <f>+IF(B817="","",SUBTOTAL(3,B$8:B817))</f>
        <v>810</v>
      </c>
      <c r="B817" s="106" t="str">
        <f>'Detailed Report'!O813</f>
        <v>Fuddruckers - Concord Plaza Mall</v>
      </c>
      <c r="C817" s="107">
        <f>TRUNC('Detailed Report'!Q813,0)</f>
        <v>46049</v>
      </c>
      <c r="D817" s="108">
        <f>'Detailed Report'!P813</f>
        <v>3422688084</v>
      </c>
      <c r="E817" s="106" t="str">
        <f>'Detailed Report'!S813</f>
        <v>Successful</v>
      </c>
      <c r="F817" s="109">
        <f>IF(E817=$E$6,('Detailed Report'!Y813),IF(E817=$E$5,(0),0))</f>
        <v>615.97</v>
      </c>
      <c r="G817" s="106">
        <f>IF(E817=$E$6,('Detailed Report'!AQ813),IF(E817=$E$5,('Detailed Report'!AW813),0))</f>
        <v>540.32456000000002</v>
      </c>
      <c r="H817" s="106">
        <f>'Detailed Report'!AS813</f>
        <v>135.08114</v>
      </c>
      <c r="I817" s="106">
        <f>'Detailed Report'!AT813</f>
        <v>18.911359600000001</v>
      </c>
      <c r="J817" s="106">
        <f>'Detailed Report'!AO813</f>
        <v>10.779475</v>
      </c>
      <c r="K817" s="106">
        <f>'Detailed Report'!AP813</f>
        <v>1.5091265</v>
      </c>
      <c r="L817" s="106">
        <f>'Detailed Report'!AU813/1.14</f>
        <v>0</v>
      </c>
      <c r="M817" s="106">
        <f>'Detailed Report'!AU813-L817</f>
        <v>0</v>
      </c>
      <c r="N817" s="110">
        <f>'Detailed Report'!AW813</f>
        <v>415.48899999999998</v>
      </c>
      <c r="O817" s="111">
        <f t="shared" si="58"/>
        <v>124.83556000000004</v>
      </c>
      <c r="P817" s="110">
        <f>'Detailed Report'!AM813</f>
        <v>30</v>
      </c>
      <c r="Q817" s="110">
        <f>'Detailed Report'!AN813</f>
        <v>4.2</v>
      </c>
      <c r="R817" s="110">
        <f>'Detailed Report'!AU813/1.14</f>
        <v>0</v>
      </c>
      <c r="S817" s="110">
        <f>'Detailed Report'!AU813-'........... - Otlob'!R817</f>
        <v>0</v>
      </c>
    </row>
    <row r="818" spans="1:19" x14ac:dyDescent="0.25">
      <c r="A818" s="105">
        <f>+IF(B818="","",SUBTOTAL(3,B$8:B818))</f>
        <v>811</v>
      </c>
      <c r="B818" s="106" t="str">
        <f>'Detailed Report'!O814</f>
        <v>Fuddruckers - New Maadi</v>
      </c>
      <c r="C818" s="107">
        <f>TRUNC('Detailed Report'!Q814,0)</f>
        <v>46049</v>
      </c>
      <c r="D818" s="108">
        <f>'Detailed Report'!P814</f>
        <v>3422724761</v>
      </c>
      <c r="E818" s="106" t="str">
        <f>'Detailed Report'!S814</f>
        <v>Successful</v>
      </c>
      <c r="F818" s="109">
        <f>IF(E818=$E$6,('Detailed Report'!Y814),IF(E818=$E$5,(0),0))</f>
        <v>275.99</v>
      </c>
      <c r="G818" s="106">
        <f>IF(E818=$E$6,('Detailed Report'!AQ814),IF(E818=$E$5,('Detailed Report'!AW814),0))</f>
        <v>242.09648999999999</v>
      </c>
      <c r="H818" s="106">
        <f>'Detailed Report'!AS814</f>
        <v>60.524120000000003</v>
      </c>
      <c r="I818" s="106">
        <f>'Detailed Report'!AT814</f>
        <v>8.4733768000000005</v>
      </c>
      <c r="J818" s="106">
        <f>'Detailed Report'!AO814</f>
        <v>0</v>
      </c>
      <c r="K818" s="106">
        <f>'Detailed Report'!AP814</f>
        <v>0</v>
      </c>
      <c r="L818" s="106">
        <f>'Detailed Report'!AU814/1.14</f>
        <v>0</v>
      </c>
      <c r="M818" s="106">
        <f>'Detailed Report'!AU814-L818</f>
        <v>0</v>
      </c>
      <c r="N818" s="110">
        <f>'Detailed Report'!AW814</f>
        <v>206.99299999999999</v>
      </c>
      <c r="O818" s="111">
        <f t="shared" si="58"/>
        <v>35.103489999999994</v>
      </c>
      <c r="P818" s="110">
        <f>'Detailed Report'!AM814</f>
        <v>0</v>
      </c>
      <c r="Q818" s="110">
        <f>'Detailed Report'!AN814</f>
        <v>0</v>
      </c>
      <c r="R818" s="110">
        <f>'Detailed Report'!AU814/1.14</f>
        <v>0</v>
      </c>
      <c r="S818" s="110">
        <f>'Detailed Report'!AU814-'........... - Otlob'!R818</f>
        <v>0</v>
      </c>
    </row>
    <row r="819" spans="1:19" x14ac:dyDescent="0.25">
      <c r="A819" s="105">
        <f>+IF(B819="","",SUBTOTAL(3,B$8:B819))</f>
        <v>812</v>
      </c>
      <c r="B819" s="106" t="str">
        <f>'Detailed Report'!O815</f>
        <v>Fuddruckers - New Maadi</v>
      </c>
      <c r="C819" s="107">
        <f>TRUNC('Detailed Report'!Q815,0)</f>
        <v>46049</v>
      </c>
      <c r="D819" s="108">
        <f>'Detailed Report'!P815</f>
        <v>3422729462</v>
      </c>
      <c r="E819" s="106" t="str">
        <f>'Detailed Report'!S815</f>
        <v>Successful</v>
      </c>
      <c r="F819" s="109">
        <f>IF(E819=$E$6,('Detailed Report'!Y815),IF(E819=$E$5,(0),0))</f>
        <v>319.99</v>
      </c>
      <c r="G819" s="106">
        <f>IF(E819=$E$6,('Detailed Report'!AQ815),IF(E819=$E$5,('Detailed Report'!AW815),0))</f>
        <v>280.69297999999998</v>
      </c>
      <c r="H819" s="106">
        <f>'Detailed Report'!AS815</f>
        <v>70.173249999999996</v>
      </c>
      <c r="I819" s="106">
        <f>'Detailed Report'!AT815</f>
        <v>9.8242550000000008</v>
      </c>
      <c r="J819" s="106">
        <f>'Detailed Report'!AO815</f>
        <v>5.5998250000000001</v>
      </c>
      <c r="K819" s="106">
        <f>'Detailed Report'!AP815</f>
        <v>0.78397550000000005</v>
      </c>
      <c r="L819" s="106">
        <f>'Detailed Report'!AU815/1.14</f>
        <v>0</v>
      </c>
      <c r="M819" s="106">
        <f>'Detailed Report'!AU815-L819</f>
        <v>0</v>
      </c>
      <c r="N819" s="110">
        <f>'Detailed Report'!AW815</f>
        <v>233.60900000000001</v>
      </c>
      <c r="O819" s="111">
        <f t="shared" si="58"/>
        <v>47.083979999999968</v>
      </c>
      <c r="P819" s="110">
        <f>'Detailed Report'!AM815</f>
        <v>0</v>
      </c>
      <c r="Q819" s="110">
        <f>'Detailed Report'!AN815</f>
        <v>0</v>
      </c>
      <c r="R819" s="110">
        <f>'Detailed Report'!AU815/1.14</f>
        <v>0</v>
      </c>
      <c r="S819" s="110">
        <f>'Detailed Report'!AU815-'........... - Otlob'!R819</f>
        <v>0</v>
      </c>
    </row>
    <row r="820" spans="1:19" x14ac:dyDescent="0.25">
      <c r="A820" s="105">
        <f>+IF(B820="","",SUBTOTAL(3,B$8:B820))</f>
        <v>813</v>
      </c>
      <c r="B820" s="106" t="str">
        <f>'Detailed Report'!O816</f>
        <v>Fuddruckers - New Maadi</v>
      </c>
      <c r="C820" s="107">
        <f>TRUNC('Detailed Report'!Q816,0)</f>
        <v>46049</v>
      </c>
      <c r="D820" s="108">
        <f>'Detailed Report'!P816</f>
        <v>3422956626</v>
      </c>
      <c r="E820" s="106" t="str">
        <f>'Detailed Report'!S816</f>
        <v>Successful</v>
      </c>
      <c r="F820" s="109">
        <f>IF(E820=$E$6,('Detailed Report'!Y816),IF(E820=$E$5,(0),0))</f>
        <v>203.99</v>
      </c>
      <c r="G820" s="106">
        <f>IF(E820=$E$6,('Detailed Report'!AQ816),IF(E820=$E$5,('Detailed Report'!AW816),0))</f>
        <v>178.93860000000001</v>
      </c>
      <c r="H820" s="106">
        <f>'Detailed Report'!AS816</f>
        <v>44.734650000000002</v>
      </c>
      <c r="I820" s="106">
        <f>'Detailed Report'!AT816</f>
        <v>6.2628510000000004</v>
      </c>
      <c r="J820" s="106">
        <f>'Detailed Report'!AO816</f>
        <v>3.5698249999999998</v>
      </c>
      <c r="K820" s="106">
        <f>'Detailed Report'!AP816</f>
        <v>0.49977549999999998</v>
      </c>
      <c r="L820" s="106">
        <f>'Detailed Report'!AU816/1.14</f>
        <v>24.55263157894737</v>
      </c>
      <c r="M820" s="106">
        <f>'Detailed Report'!AU816-L820</f>
        <v>3.4373684210526285</v>
      </c>
      <c r="N820" s="110">
        <f>'Detailed Report'!AW816</f>
        <v>120.93300000000001</v>
      </c>
      <c r="O820" s="111">
        <f t="shared" si="58"/>
        <v>58.005600000000001</v>
      </c>
      <c r="P820" s="110">
        <f>'Detailed Report'!AM816</f>
        <v>0</v>
      </c>
      <c r="Q820" s="110">
        <f>'Detailed Report'!AN816</f>
        <v>0</v>
      </c>
      <c r="R820" s="110">
        <f>'Detailed Report'!AU816/1.14</f>
        <v>24.55263157894737</v>
      </c>
      <c r="S820" s="110">
        <f>'Detailed Report'!AU816-'........... - Otlob'!R820</f>
        <v>3.4373684210526285</v>
      </c>
    </row>
    <row r="821" spans="1:19" x14ac:dyDescent="0.25">
      <c r="A821" s="105">
        <f>+IF(B821="","",SUBTOTAL(3,B$8:B821))</f>
        <v>814</v>
      </c>
      <c r="B821" s="106" t="str">
        <f>'Detailed Report'!O817</f>
        <v>Fuddruckers - City Stars</v>
      </c>
      <c r="C821" s="107">
        <f>TRUNC('Detailed Report'!Q817,0)</f>
        <v>46049</v>
      </c>
      <c r="D821" s="108">
        <f>'Detailed Report'!P817</f>
        <v>3423024736</v>
      </c>
      <c r="E821" s="106" t="str">
        <f>'Detailed Report'!S817</f>
        <v>Successful</v>
      </c>
      <c r="F821" s="109">
        <f>IF(E821=$E$6,('Detailed Report'!Y817),IF(E821=$E$5,(0),0))</f>
        <v>426.82</v>
      </c>
      <c r="G821" s="106">
        <f>IF(E821=$E$6,('Detailed Report'!AQ817),IF(E821=$E$5,('Detailed Report'!AW817),0))</f>
        <v>374.40350999999998</v>
      </c>
      <c r="H821" s="106">
        <f>'Detailed Report'!AS817</f>
        <v>93.600880000000004</v>
      </c>
      <c r="I821" s="106">
        <f>'Detailed Report'!AT817</f>
        <v>13.1041232</v>
      </c>
      <c r="J821" s="106">
        <f>'Detailed Report'!AO817</f>
        <v>0</v>
      </c>
      <c r="K821" s="106">
        <f>'Detailed Report'!AP817</f>
        <v>0</v>
      </c>
      <c r="L821" s="106">
        <f>'Detailed Report'!AU817/1.14</f>
        <v>27.184210526315791</v>
      </c>
      <c r="M821" s="106">
        <f>'Detailed Report'!AU817-L821</f>
        <v>3.8057894736842073</v>
      </c>
      <c r="N821" s="110">
        <f>'Detailed Report'!AW817</f>
        <v>289.125</v>
      </c>
      <c r="O821" s="111">
        <f t="shared" si="58"/>
        <v>85.278509999999983</v>
      </c>
      <c r="P821" s="110">
        <f>'Detailed Report'!AM817</f>
        <v>0</v>
      </c>
      <c r="Q821" s="110">
        <f>'Detailed Report'!AN817</f>
        <v>0</v>
      </c>
      <c r="R821" s="110">
        <f>'Detailed Report'!AU817/1.14</f>
        <v>27.184210526315791</v>
      </c>
      <c r="S821" s="110">
        <f>'Detailed Report'!AU817-'........... - Otlob'!R821</f>
        <v>3.8057894736842073</v>
      </c>
    </row>
    <row r="822" spans="1:19" x14ac:dyDescent="0.25">
      <c r="A822" s="105">
        <f>+IF(B822="","",SUBTOTAL(3,B$8:B822))</f>
        <v>815</v>
      </c>
      <c r="B822" s="106" t="str">
        <f>'Detailed Report'!O818</f>
        <v>Fuddruckers - New Maadi</v>
      </c>
      <c r="C822" s="107">
        <f>TRUNC('Detailed Report'!Q818,0)</f>
        <v>46049</v>
      </c>
      <c r="D822" s="108">
        <f>'Detailed Report'!P818</f>
        <v>3423034349</v>
      </c>
      <c r="E822" s="106" t="str">
        <f>'Detailed Report'!S818</f>
        <v>Successful</v>
      </c>
      <c r="F822" s="109">
        <f>IF(E822=$E$6,('Detailed Report'!Y818),IF(E822=$E$5,(0),0))</f>
        <v>117.86</v>
      </c>
      <c r="G822" s="106">
        <f>IF(E822=$E$6,('Detailed Report'!AQ818),IF(E822=$E$5,('Detailed Report'!AW818),0))</f>
        <v>103.38596</v>
      </c>
      <c r="H822" s="106">
        <f>'Detailed Report'!AS818</f>
        <v>25.846489999999999</v>
      </c>
      <c r="I822" s="106">
        <f>'Detailed Report'!AT818</f>
        <v>3.6185086000000002</v>
      </c>
      <c r="J822" s="106">
        <f>'Detailed Report'!AO818</f>
        <v>2.0625499999999999</v>
      </c>
      <c r="K822" s="106">
        <f>'Detailed Report'!AP818</f>
        <v>0.28875699999999999</v>
      </c>
      <c r="L822" s="106">
        <f>'Detailed Report'!AU818/1.14</f>
        <v>0</v>
      </c>
      <c r="M822" s="106">
        <f>'Detailed Report'!AU818-L822</f>
        <v>0</v>
      </c>
      <c r="N822" s="110">
        <f>'Detailed Report'!AW818</f>
        <v>86.043999999999997</v>
      </c>
      <c r="O822" s="111">
        <f t="shared" si="58"/>
        <v>17.34196</v>
      </c>
      <c r="P822" s="110">
        <f>'Detailed Report'!AM818</f>
        <v>0</v>
      </c>
      <c r="Q822" s="110">
        <f>'Detailed Report'!AN818</f>
        <v>0</v>
      </c>
      <c r="R822" s="110">
        <f>'Detailed Report'!AU818/1.14</f>
        <v>0</v>
      </c>
      <c r="S822" s="110">
        <f>'Detailed Report'!AU818-'........... - Otlob'!R822</f>
        <v>0</v>
      </c>
    </row>
    <row r="823" spans="1:19" x14ac:dyDescent="0.25">
      <c r="A823" s="105">
        <f>+IF(B823="","",SUBTOTAL(3,B$8:B823))</f>
        <v>816</v>
      </c>
      <c r="B823" s="106" t="str">
        <f>'Detailed Report'!O819</f>
        <v>Fuddruckers - City Stars</v>
      </c>
      <c r="C823" s="107">
        <f>TRUNC('Detailed Report'!Q819,0)</f>
        <v>46049</v>
      </c>
      <c r="D823" s="108">
        <f>'Detailed Report'!P819</f>
        <v>3423043318</v>
      </c>
      <c r="E823" s="106" t="str">
        <f>'Detailed Report'!S819</f>
        <v>Successful</v>
      </c>
      <c r="F823" s="109">
        <f>IF(E823=$E$6,('Detailed Report'!Y819),IF(E823=$E$5,(0),0))</f>
        <v>352.99</v>
      </c>
      <c r="G823" s="106">
        <f>IF(E823=$E$6,('Detailed Report'!AQ819),IF(E823=$E$5,('Detailed Report'!AW819),0))</f>
        <v>309.64035000000001</v>
      </c>
      <c r="H823" s="106">
        <f>'Detailed Report'!AS819</f>
        <v>77.410089999999997</v>
      </c>
      <c r="I823" s="106">
        <f>'Detailed Report'!AT819</f>
        <v>10.8374126</v>
      </c>
      <c r="J823" s="106">
        <f>'Detailed Report'!AO819</f>
        <v>6.1773249999999997</v>
      </c>
      <c r="K823" s="106">
        <f>'Detailed Report'!AP819</f>
        <v>0.86482550000000002</v>
      </c>
      <c r="L823" s="106">
        <f>'Detailed Report'!AU819/1.14</f>
        <v>25.42982456140351</v>
      </c>
      <c r="M823" s="106">
        <f>'Detailed Report'!AU819-L823</f>
        <v>3.5601754385964881</v>
      </c>
      <c r="N823" s="110">
        <f>'Detailed Report'!AW819</f>
        <v>228.71</v>
      </c>
      <c r="O823" s="111">
        <f t="shared" si="58"/>
        <v>80.930350000000004</v>
      </c>
      <c r="P823" s="110">
        <f>'Detailed Report'!AM819</f>
        <v>0</v>
      </c>
      <c r="Q823" s="110">
        <f>'Detailed Report'!AN819</f>
        <v>0</v>
      </c>
      <c r="R823" s="110">
        <f>'Detailed Report'!AU819/1.14</f>
        <v>25.42982456140351</v>
      </c>
      <c r="S823" s="110">
        <f>'Detailed Report'!AU819-'........... - Otlob'!R823</f>
        <v>3.5601754385964881</v>
      </c>
    </row>
    <row r="824" spans="1:19" x14ac:dyDescent="0.25">
      <c r="A824" s="105">
        <f>+IF(B824="","",SUBTOTAL(3,B$8:B824))</f>
        <v>817</v>
      </c>
      <c r="B824" s="106" t="str">
        <f>'Detailed Report'!O820</f>
        <v>Fuddruckers - Concord Plaza Mall</v>
      </c>
      <c r="C824" s="107">
        <f>TRUNC('Detailed Report'!Q820,0)</f>
        <v>46049</v>
      </c>
      <c r="D824" s="108">
        <f>'Detailed Report'!P820</f>
        <v>3423057389</v>
      </c>
      <c r="E824" s="106" t="str">
        <f>'Detailed Report'!S820</f>
        <v>Successful</v>
      </c>
      <c r="F824" s="109">
        <f>IF(E824=$E$6,('Detailed Report'!Y820),IF(E824=$E$5,(0),0))</f>
        <v>639.98</v>
      </c>
      <c r="G824" s="106">
        <f>IF(E824=$E$6,('Detailed Report'!AQ820),IF(E824=$E$5,('Detailed Report'!AW820),0))</f>
        <v>561.38595999999995</v>
      </c>
      <c r="H824" s="106">
        <f>'Detailed Report'!AS820</f>
        <v>140.34648999999999</v>
      </c>
      <c r="I824" s="106">
        <f>'Detailed Report'!AT820</f>
        <v>19.6485086</v>
      </c>
      <c r="J824" s="106">
        <f>'Detailed Report'!AO820</f>
        <v>11.19965</v>
      </c>
      <c r="K824" s="106">
        <f>'Detailed Report'!AP820</f>
        <v>1.5679510000000001</v>
      </c>
      <c r="L824" s="106">
        <f>'Detailed Report'!AU820/1.14</f>
        <v>29.815789473684216</v>
      </c>
      <c r="M824" s="106">
        <f>'Detailed Report'!AU820-L824</f>
        <v>4.174210526315786</v>
      </c>
      <c r="N824" s="110">
        <f>'Detailed Report'!AW820</f>
        <v>433.22699999999998</v>
      </c>
      <c r="O824" s="111">
        <f t="shared" si="58"/>
        <v>128.15895999999998</v>
      </c>
      <c r="P824" s="110">
        <f>'Detailed Report'!AM820</f>
        <v>0</v>
      </c>
      <c r="Q824" s="110">
        <f>'Detailed Report'!AN820</f>
        <v>0</v>
      </c>
      <c r="R824" s="110">
        <f>'Detailed Report'!AU820/1.14</f>
        <v>29.815789473684216</v>
      </c>
      <c r="S824" s="110">
        <f>'Detailed Report'!AU820-'........... - Otlob'!R824</f>
        <v>4.174210526315786</v>
      </c>
    </row>
    <row r="825" spans="1:19" x14ac:dyDescent="0.25">
      <c r="A825" s="105">
        <f>+IF(B825="","",SUBTOTAL(3,B$8:B825))</f>
        <v>818</v>
      </c>
      <c r="B825" s="106" t="str">
        <f>'Detailed Report'!O821</f>
        <v>Fuddruckers - New Maadi</v>
      </c>
      <c r="C825" s="107">
        <f>TRUNC('Detailed Report'!Q821,0)</f>
        <v>46049</v>
      </c>
      <c r="D825" s="108">
        <f>'Detailed Report'!P821</f>
        <v>3423174998</v>
      </c>
      <c r="E825" s="106" t="str">
        <f>'Detailed Report'!S821</f>
        <v>Successful</v>
      </c>
      <c r="F825" s="109">
        <f>IF(E825=$E$6,('Detailed Report'!Y821),IF(E825=$E$5,(0),0))</f>
        <v>558.99</v>
      </c>
      <c r="G825" s="106">
        <f>IF(E825=$E$6,('Detailed Report'!AQ821),IF(E825=$E$5,('Detailed Report'!AW821),0))</f>
        <v>490.34210999999999</v>
      </c>
      <c r="H825" s="106">
        <f>'Detailed Report'!AS821</f>
        <v>122.58553000000001</v>
      </c>
      <c r="I825" s="106">
        <f>'Detailed Report'!AT821</f>
        <v>17.1619742</v>
      </c>
      <c r="J825" s="106">
        <f>'Detailed Report'!AO821</f>
        <v>9.7823250000000002</v>
      </c>
      <c r="K825" s="106">
        <f>'Detailed Report'!AP821</f>
        <v>1.3695255</v>
      </c>
      <c r="L825" s="106">
        <f>'Detailed Report'!AU821/1.14</f>
        <v>25.42982456140351</v>
      </c>
      <c r="M825" s="106">
        <f>'Detailed Report'!AU821-L825</f>
        <v>3.5601754385964881</v>
      </c>
      <c r="N825" s="110">
        <f>'Detailed Report'!AW821</f>
        <v>379.101</v>
      </c>
      <c r="O825" s="111">
        <f t="shared" si="58"/>
        <v>111.24110999999999</v>
      </c>
      <c r="P825" s="110">
        <f>'Detailed Report'!AM821</f>
        <v>0</v>
      </c>
      <c r="Q825" s="110">
        <f>'Detailed Report'!AN821</f>
        <v>0</v>
      </c>
      <c r="R825" s="110">
        <f>'Detailed Report'!AU821/1.14</f>
        <v>25.42982456140351</v>
      </c>
      <c r="S825" s="110">
        <f>'Detailed Report'!AU821-'........... - Otlob'!R825</f>
        <v>3.5601754385964881</v>
      </c>
    </row>
    <row r="826" spans="1:19" x14ac:dyDescent="0.25">
      <c r="A826" s="105">
        <f>+IF(B826="","",SUBTOTAL(3,B$8:B826))</f>
        <v>819</v>
      </c>
      <c r="B826" s="106" t="str">
        <f>'Detailed Report'!O822</f>
        <v>Fuddruckers - New Maadi</v>
      </c>
      <c r="C826" s="107">
        <f>TRUNC('Detailed Report'!Q822,0)</f>
        <v>46049</v>
      </c>
      <c r="D826" s="108">
        <f>'Detailed Report'!P822</f>
        <v>3423249887</v>
      </c>
      <c r="E826" s="106" t="str">
        <f>'Detailed Report'!S822</f>
        <v>Successful</v>
      </c>
      <c r="F826" s="109">
        <f>IF(E826=$E$6,('Detailed Report'!Y822),IF(E826=$E$5,(0),0))</f>
        <v>352</v>
      </c>
      <c r="G826" s="106">
        <f>IF(E826=$E$6,('Detailed Report'!AQ822),IF(E826=$E$5,('Detailed Report'!AW822),0))</f>
        <v>308.77193</v>
      </c>
      <c r="H826" s="106">
        <f>'Detailed Report'!AS822</f>
        <v>77.192980000000006</v>
      </c>
      <c r="I826" s="106">
        <f>'Detailed Report'!AT822</f>
        <v>10.807017200000001</v>
      </c>
      <c r="J826" s="106">
        <f>'Detailed Report'!AO822</f>
        <v>6.16</v>
      </c>
      <c r="K826" s="106">
        <f>'Detailed Report'!AP822</f>
        <v>0.86240000000000006</v>
      </c>
      <c r="L826" s="106">
        <f>'Detailed Report'!AU822/1.14</f>
        <v>0</v>
      </c>
      <c r="M826" s="106">
        <f>'Detailed Report'!AU822-L826</f>
        <v>0</v>
      </c>
      <c r="N826" s="110">
        <f>'Detailed Report'!AW822</f>
        <v>256.97800000000001</v>
      </c>
      <c r="O826" s="111">
        <f t="shared" si="58"/>
        <v>51.793929999999989</v>
      </c>
      <c r="P826" s="110">
        <f>'Detailed Report'!AM822</f>
        <v>0</v>
      </c>
      <c r="Q826" s="110">
        <f>'Detailed Report'!AN822</f>
        <v>0</v>
      </c>
      <c r="R826" s="110">
        <f>'Detailed Report'!AU822/1.14</f>
        <v>0</v>
      </c>
      <c r="S826" s="110">
        <f>'Detailed Report'!AU822-'........... - Otlob'!R826</f>
        <v>0</v>
      </c>
    </row>
    <row r="827" spans="1:19" x14ac:dyDescent="0.25">
      <c r="A827" s="105">
        <f>+IF(B827="","",SUBTOTAL(3,B$8:B827))</f>
        <v>820</v>
      </c>
      <c r="B827" s="106" t="str">
        <f>'Detailed Report'!O823</f>
        <v>Fuddruckers - City Stars</v>
      </c>
      <c r="C827" s="107">
        <f>TRUNC('Detailed Report'!Q823,0)</f>
        <v>46049</v>
      </c>
      <c r="D827" s="108">
        <f>'Detailed Report'!P823</f>
        <v>3423277475</v>
      </c>
      <c r="E827" s="106" t="str">
        <f>'Detailed Report'!S823</f>
        <v>Successful</v>
      </c>
      <c r="F827" s="109">
        <f>IF(E827=$E$6,('Detailed Report'!Y823),IF(E827=$E$5,(0),0))</f>
        <v>870.97</v>
      </c>
      <c r="G827" s="106">
        <f>IF(E827=$E$6,('Detailed Report'!AQ823),IF(E827=$E$5,('Detailed Report'!AW823),0))</f>
        <v>764.00877000000003</v>
      </c>
      <c r="H827" s="106">
        <f>'Detailed Report'!AS823</f>
        <v>191.00219000000001</v>
      </c>
      <c r="I827" s="106">
        <f>'Detailed Report'!AT823</f>
        <v>26.7403066</v>
      </c>
      <c r="J827" s="106">
        <f>'Detailed Report'!AO823</f>
        <v>15.241975</v>
      </c>
      <c r="K827" s="106">
        <f>'Detailed Report'!AP823</f>
        <v>2.1338765</v>
      </c>
      <c r="L827" s="106">
        <f>'Detailed Report'!AU823/1.14</f>
        <v>0</v>
      </c>
      <c r="M827" s="106">
        <f>'Detailed Report'!AU823-L827</f>
        <v>0</v>
      </c>
      <c r="N827" s="110">
        <f>'Detailed Report'!AW823</f>
        <v>635.85199999999998</v>
      </c>
      <c r="O827" s="111">
        <f t="shared" si="58"/>
        <v>128.15677000000005</v>
      </c>
      <c r="P827" s="110">
        <f>'Detailed Report'!AM823</f>
        <v>0</v>
      </c>
      <c r="Q827" s="110">
        <f>'Detailed Report'!AN823</f>
        <v>0</v>
      </c>
      <c r="R827" s="110">
        <f>'Detailed Report'!AU823/1.14</f>
        <v>0</v>
      </c>
      <c r="S827" s="110">
        <f>'Detailed Report'!AU823-'........... - Otlob'!R827</f>
        <v>0</v>
      </c>
    </row>
    <row r="828" spans="1:19" x14ac:dyDescent="0.25">
      <c r="A828" s="105">
        <f>+IF(B828="","",SUBTOTAL(3,B$8:B828))</f>
        <v>821</v>
      </c>
      <c r="B828" s="106" t="str">
        <f>'Detailed Report'!O824</f>
        <v>Fuddruckers - Concord Plaza Mall</v>
      </c>
      <c r="C828" s="107">
        <f>TRUNC('Detailed Report'!Q824,0)</f>
        <v>46049</v>
      </c>
      <c r="D828" s="108">
        <f>'Detailed Report'!P824</f>
        <v>3423337851</v>
      </c>
      <c r="E828" s="106" t="str">
        <f>'Detailed Report'!S824</f>
        <v>Successful</v>
      </c>
      <c r="F828" s="109">
        <f>IF(E828=$E$6,('Detailed Report'!Y824),IF(E828=$E$5,(0),0))</f>
        <v>569</v>
      </c>
      <c r="G828" s="106">
        <f>IF(E828=$E$6,('Detailed Report'!AQ824),IF(E828=$E$5,('Detailed Report'!AW824),0))</f>
        <v>499.12281000000002</v>
      </c>
      <c r="H828" s="106">
        <f>'Detailed Report'!AS824</f>
        <v>124.7807</v>
      </c>
      <c r="I828" s="106">
        <f>'Detailed Report'!AT824</f>
        <v>17.469297999999998</v>
      </c>
      <c r="J828" s="106">
        <f>'Detailed Report'!AO824</f>
        <v>9.9574999999999996</v>
      </c>
      <c r="K828" s="106">
        <f>'Detailed Report'!AP824</f>
        <v>1.39405</v>
      </c>
      <c r="L828" s="106">
        <f>'Detailed Report'!AU824/1.14</f>
        <v>28.061403508771932</v>
      </c>
      <c r="M828" s="106">
        <f>'Detailed Report'!AU824-L828</f>
        <v>3.9285964912280669</v>
      </c>
      <c r="N828" s="110">
        <f>'Detailed Report'!AW824</f>
        <v>383.40800000000002</v>
      </c>
      <c r="O828" s="111">
        <f t="shared" si="58"/>
        <v>115.71481</v>
      </c>
      <c r="P828" s="110">
        <f>'Detailed Report'!AM824</f>
        <v>0</v>
      </c>
      <c r="Q828" s="110">
        <f>'Detailed Report'!AN824</f>
        <v>0</v>
      </c>
      <c r="R828" s="110">
        <f>'Detailed Report'!AU824/1.14</f>
        <v>28.061403508771932</v>
      </c>
      <c r="S828" s="110">
        <f>'Detailed Report'!AU824-'........... - Otlob'!R828</f>
        <v>3.9285964912280669</v>
      </c>
    </row>
    <row r="829" spans="1:19" x14ac:dyDescent="0.25">
      <c r="A829" s="105">
        <f>+IF(B829="","",SUBTOTAL(3,B$8:B829))</f>
        <v>822</v>
      </c>
      <c r="B829" s="106" t="str">
        <f>'Detailed Report'!O825</f>
        <v>Fuddruckers - Concord Plaza Mall</v>
      </c>
      <c r="C829" s="107">
        <f>TRUNC('Detailed Report'!Q825,0)</f>
        <v>46049</v>
      </c>
      <c r="D829" s="108">
        <f>'Detailed Report'!P825</f>
        <v>3423461157</v>
      </c>
      <c r="E829" s="106" t="str">
        <f>'Detailed Report'!S825</f>
        <v>Successful</v>
      </c>
      <c r="F829" s="109">
        <f>IF(E829=$E$6,('Detailed Report'!Y825),IF(E829=$E$5,(0),0))</f>
        <v>499.01</v>
      </c>
      <c r="G829" s="106">
        <f>IF(E829=$E$6,('Detailed Report'!AQ825),IF(E829=$E$5,('Detailed Report'!AW825),0))</f>
        <v>437.72807</v>
      </c>
      <c r="H829" s="106">
        <f>'Detailed Report'!AS825</f>
        <v>109.43201999999999</v>
      </c>
      <c r="I829" s="106">
        <f>'Detailed Report'!AT825</f>
        <v>15.320482800000001</v>
      </c>
      <c r="J829" s="106">
        <f>'Detailed Report'!AO825</f>
        <v>8.7326750000000004</v>
      </c>
      <c r="K829" s="106">
        <f>'Detailed Report'!AP825</f>
        <v>1.2225744999999999</v>
      </c>
      <c r="L829" s="106">
        <f>'Detailed Report'!AU825/1.14</f>
        <v>30.692982456140356</v>
      </c>
      <c r="M829" s="106">
        <f>'Detailed Report'!AU825-L829</f>
        <v>4.2970175438596456</v>
      </c>
      <c r="N829" s="110">
        <f>'Detailed Report'!AW825</f>
        <v>329.31200000000001</v>
      </c>
      <c r="O829" s="111">
        <f t="shared" si="58"/>
        <v>108.41606999999999</v>
      </c>
      <c r="P829" s="110">
        <f>'Detailed Report'!AM825</f>
        <v>0</v>
      </c>
      <c r="Q829" s="110">
        <f>'Detailed Report'!AN825</f>
        <v>0</v>
      </c>
      <c r="R829" s="110">
        <f>'Detailed Report'!AU825/1.14</f>
        <v>30.692982456140356</v>
      </c>
      <c r="S829" s="110">
        <f>'Detailed Report'!AU825-'........... - Otlob'!R829</f>
        <v>4.2970175438596456</v>
      </c>
    </row>
    <row r="830" spans="1:19" x14ac:dyDescent="0.25">
      <c r="A830" s="105">
        <f>+IF(B830="","",SUBTOTAL(3,B$8:B830))</f>
        <v>823</v>
      </c>
      <c r="B830" s="106" t="str">
        <f>'Detailed Report'!O826</f>
        <v>Fuddruckers - New Maadi</v>
      </c>
      <c r="C830" s="107">
        <f>TRUNC('Detailed Report'!Q826,0)</f>
        <v>46049</v>
      </c>
      <c r="D830" s="108">
        <f>'Detailed Report'!P826</f>
        <v>3423474482</v>
      </c>
      <c r="E830" s="106" t="str">
        <f>'Detailed Report'!S826</f>
        <v>Successful</v>
      </c>
      <c r="F830" s="109">
        <f>IF(E830=$E$6,('Detailed Report'!Y826),IF(E830=$E$5,(0),0))</f>
        <v>367.86</v>
      </c>
      <c r="G830" s="106">
        <f>IF(E830=$E$6,('Detailed Report'!AQ826),IF(E830=$E$5,('Detailed Report'!AW826),0))</f>
        <v>322.68421000000001</v>
      </c>
      <c r="H830" s="106">
        <f>'Detailed Report'!AS826</f>
        <v>80.671049999999994</v>
      </c>
      <c r="I830" s="106">
        <f>'Detailed Report'!AT826</f>
        <v>11.293946999999999</v>
      </c>
      <c r="J830" s="106">
        <f>'Detailed Report'!AO826</f>
        <v>6.4375499999999999</v>
      </c>
      <c r="K830" s="106">
        <f>'Detailed Report'!AP826</f>
        <v>0.90125699999999997</v>
      </c>
      <c r="L830" s="106">
        <f>'Detailed Report'!AU826/1.14</f>
        <v>26.307017543859651</v>
      </c>
      <c r="M830" s="106">
        <f>'Detailed Report'!AU826-L830</f>
        <v>3.6829824561403477</v>
      </c>
      <c r="N830" s="110">
        <f>'Detailed Report'!AW826</f>
        <v>238.566</v>
      </c>
      <c r="O830" s="111">
        <f t="shared" si="58"/>
        <v>84.118210000000005</v>
      </c>
      <c r="P830" s="110">
        <f>'Detailed Report'!AM826</f>
        <v>0</v>
      </c>
      <c r="Q830" s="110">
        <f>'Detailed Report'!AN826</f>
        <v>0</v>
      </c>
      <c r="R830" s="110">
        <f>'Detailed Report'!AU826/1.14</f>
        <v>26.307017543859651</v>
      </c>
      <c r="S830" s="110">
        <f>'Detailed Report'!AU826-'........... - Otlob'!R830</f>
        <v>3.6829824561403477</v>
      </c>
    </row>
    <row r="831" spans="1:19" x14ac:dyDescent="0.25">
      <c r="A831" s="105">
        <f>+IF(B831="","",SUBTOTAL(3,B$8:B831))</f>
        <v>824</v>
      </c>
      <c r="B831" s="106" t="str">
        <f>'Detailed Report'!O827</f>
        <v>Fuddruckers - Concord Plaza Mall</v>
      </c>
      <c r="C831" s="107">
        <f>TRUNC('Detailed Report'!Q827,0)</f>
        <v>46049</v>
      </c>
      <c r="D831" s="108">
        <f>'Detailed Report'!P827</f>
        <v>3423606178</v>
      </c>
      <c r="E831" s="106" t="str">
        <f>'Detailed Report'!S827</f>
        <v>Successful</v>
      </c>
      <c r="F831" s="109">
        <f>IF(E831=$E$6,('Detailed Report'!Y827),IF(E831=$E$5,(0),0))</f>
        <v>447.18</v>
      </c>
      <c r="G831" s="106">
        <f>IF(E831=$E$6,('Detailed Report'!AQ827),IF(E831=$E$5,('Detailed Report'!AW827),0))</f>
        <v>392.26316000000003</v>
      </c>
      <c r="H831" s="106">
        <f>'Detailed Report'!AS827</f>
        <v>98.065790000000007</v>
      </c>
      <c r="I831" s="106">
        <f>'Detailed Report'!AT827</f>
        <v>13.7292106</v>
      </c>
      <c r="J831" s="106">
        <f>'Detailed Report'!AO827</f>
        <v>0</v>
      </c>
      <c r="K831" s="106">
        <f>'Detailed Report'!AP827</f>
        <v>0</v>
      </c>
      <c r="L831" s="106">
        <f>'Detailed Report'!AU827/1.14</f>
        <v>0</v>
      </c>
      <c r="M831" s="106">
        <f>'Detailed Report'!AU827-L831</f>
        <v>0</v>
      </c>
      <c r="N831" s="110">
        <f>'Detailed Report'!AW827</f>
        <v>335.38499999999999</v>
      </c>
      <c r="O831" s="111">
        <f t="shared" si="58"/>
        <v>56.878160000000037</v>
      </c>
      <c r="P831" s="110">
        <f>'Detailed Report'!AM827</f>
        <v>0</v>
      </c>
      <c r="Q831" s="110">
        <f>'Detailed Report'!AN827</f>
        <v>0</v>
      </c>
      <c r="R831" s="110">
        <f>'Detailed Report'!AU827/1.14</f>
        <v>0</v>
      </c>
      <c r="S831" s="110">
        <f>'Detailed Report'!AU827-'........... - Otlob'!R831</f>
        <v>0</v>
      </c>
    </row>
    <row r="832" spans="1:19" x14ac:dyDescent="0.25">
      <c r="A832" s="105">
        <f>+IF(B832="","",SUBTOTAL(3,B$8:B832))</f>
        <v>825</v>
      </c>
      <c r="B832" s="106" t="str">
        <f>'Detailed Report'!O828</f>
        <v>Fuddruckers - Concord Plaza Mall</v>
      </c>
      <c r="C832" s="107">
        <f>TRUNC('Detailed Report'!Q828,0)</f>
        <v>46050</v>
      </c>
      <c r="D832" s="108">
        <f>'Detailed Report'!P828</f>
        <v>3424078911</v>
      </c>
      <c r="E832" s="106" t="str">
        <f>'Detailed Report'!S828</f>
        <v>Successful</v>
      </c>
      <c r="F832" s="109">
        <f>IF(E832=$E$6,('Detailed Report'!Y828),IF(E832=$E$5,(0),0))</f>
        <v>767.99</v>
      </c>
      <c r="G832" s="106">
        <f>IF(E832=$E$6,('Detailed Report'!AQ828),IF(E832=$E$5,('Detailed Report'!AW828),0))</f>
        <v>673.67543999999998</v>
      </c>
      <c r="H832" s="106">
        <f>'Detailed Report'!AS828</f>
        <v>168.41886</v>
      </c>
      <c r="I832" s="106">
        <f>'Detailed Report'!AT828</f>
        <v>23.578640400000001</v>
      </c>
      <c r="J832" s="106">
        <f>'Detailed Report'!AO828</f>
        <v>13.439825000000001</v>
      </c>
      <c r="K832" s="106">
        <f>'Detailed Report'!AP828</f>
        <v>1.8815755000000001</v>
      </c>
      <c r="L832" s="106">
        <f>'Detailed Report'!AU828/1.14</f>
        <v>0</v>
      </c>
      <c r="M832" s="106">
        <f>'Detailed Report'!AU828-L832</f>
        <v>0</v>
      </c>
      <c r="N832" s="110">
        <f>'Detailed Report'!AW828</f>
        <v>560.67100000000005</v>
      </c>
      <c r="O832" s="111">
        <f t="shared" si="58"/>
        <v>113.00443999999993</v>
      </c>
      <c r="P832" s="110">
        <f>'Detailed Report'!AM828</f>
        <v>0</v>
      </c>
      <c r="Q832" s="110">
        <f>'Detailed Report'!AN828</f>
        <v>0</v>
      </c>
      <c r="R832" s="110">
        <f>'Detailed Report'!AU828/1.14</f>
        <v>0</v>
      </c>
      <c r="S832" s="110">
        <f>'Detailed Report'!AU828-'........... - Otlob'!R832</f>
        <v>0</v>
      </c>
    </row>
    <row r="833" spans="1:19" x14ac:dyDescent="0.25">
      <c r="A833" s="105">
        <f>+IF(B833="","",SUBTOTAL(3,B$8:B833))</f>
        <v>826</v>
      </c>
      <c r="B833" s="106" t="str">
        <f>'Detailed Report'!O829</f>
        <v>Fuddruckers - New Maadi</v>
      </c>
      <c r="C833" s="107">
        <f>TRUNC('Detailed Report'!Q829,0)</f>
        <v>46050</v>
      </c>
      <c r="D833" s="108">
        <f>'Detailed Report'!P829</f>
        <v>3424186218</v>
      </c>
      <c r="E833" s="106" t="str">
        <f>'Detailed Report'!S829</f>
        <v>Successful</v>
      </c>
      <c r="F833" s="109">
        <f>IF(E833=$E$6,('Detailed Report'!Y829),IF(E833=$E$5,(0),0))</f>
        <v>350.99</v>
      </c>
      <c r="G833" s="106">
        <f>IF(E833=$E$6,('Detailed Report'!AQ829),IF(E833=$E$5,('Detailed Report'!AW829),0))</f>
        <v>307.88596000000001</v>
      </c>
      <c r="H833" s="106">
        <f>'Detailed Report'!AS829</f>
        <v>76.971490000000003</v>
      </c>
      <c r="I833" s="106">
        <f>'Detailed Report'!AT829</f>
        <v>10.776008600000001</v>
      </c>
      <c r="J833" s="106">
        <f>'Detailed Report'!AO829</f>
        <v>6.1423249999999996</v>
      </c>
      <c r="K833" s="106">
        <f>'Detailed Report'!AP829</f>
        <v>0.85992550000000001</v>
      </c>
      <c r="L833" s="106">
        <f>'Detailed Report'!AU829/1.14</f>
        <v>26.307017543859651</v>
      </c>
      <c r="M833" s="106">
        <f>'Detailed Report'!AU829-L833</f>
        <v>3.6829824561403477</v>
      </c>
      <c r="N833" s="110">
        <f>'Detailed Report'!AW829</f>
        <v>226.25</v>
      </c>
      <c r="O833" s="111">
        <f t="shared" si="58"/>
        <v>81.635960000000011</v>
      </c>
      <c r="P833" s="110">
        <f>'Detailed Report'!AM829</f>
        <v>0</v>
      </c>
      <c r="Q833" s="110">
        <f>'Detailed Report'!AN829</f>
        <v>0</v>
      </c>
      <c r="R833" s="110">
        <f>'Detailed Report'!AU829/1.14</f>
        <v>26.307017543859651</v>
      </c>
      <c r="S833" s="110">
        <f>'Detailed Report'!AU829-'........... - Otlob'!R833</f>
        <v>3.6829824561403477</v>
      </c>
    </row>
    <row r="834" spans="1:19" x14ac:dyDescent="0.25">
      <c r="A834" s="105">
        <f>+IF(B834="","",SUBTOTAL(3,B$8:B834))</f>
        <v>827</v>
      </c>
      <c r="B834" s="106" t="str">
        <f>'Detailed Report'!O830</f>
        <v>Fuddruckers - Concord Plaza Mall</v>
      </c>
      <c r="C834" s="107">
        <f>TRUNC('Detailed Report'!Q830,0)</f>
        <v>46050</v>
      </c>
      <c r="D834" s="108">
        <f>'Detailed Report'!P830</f>
        <v>3424444332</v>
      </c>
      <c r="E834" s="106" t="str">
        <f>'Detailed Report'!S830</f>
        <v>Successful</v>
      </c>
      <c r="F834" s="109">
        <f>IF(E834=$E$6,('Detailed Report'!Y830),IF(E834=$E$5,(0),0))</f>
        <v>688.47</v>
      </c>
      <c r="G834" s="106">
        <f>IF(E834=$E$6,('Detailed Report'!AQ830),IF(E834=$E$5,('Detailed Report'!AW830),0))</f>
        <v>603.92105000000004</v>
      </c>
      <c r="H834" s="106">
        <f>'Detailed Report'!AS830</f>
        <v>150.98025999999999</v>
      </c>
      <c r="I834" s="106">
        <f>'Detailed Report'!AT830</f>
        <v>21.137236399999999</v>
      </c>
      <c r="J834" s="106">
        <f>'Detailed Report'!AO830</f>
        <v>12.048225</v>
      </c>
      <c r="K834" s="106">
        <f>'Detailed Report'!AP830</f>
        <v>1.6867515</v>
      </c>
      <c r="L834" s="106">
        <f>'Detailed Report'!AU830/1.14</f>
        <v>28.061403508771932</v>
      </c>
      <c r="M834" s="106">
        <f>'Detailed Report'!AU830-L834</f>
        <v>3.9285964912280669</v>
      </c>
      <c r="N834" s="110">
        <f>'Detailed Report'!AW830</f>
        <v>436.428</v>
      </c>
      <c r="O834" s="111">
        <f t="shared" si="58"/>
        <v>167.49305000000004</v>
      </c>
      <c r="P834" s="110">
        <f>'Detailed Report'!AM830</f>
        <v>30</v>
      </c>
      <c r="Q834" s="110">
        <f>'Detailed Report'!AN830</f>
        <v>4.2</v>
      </c>
      <c r="R834" s="110">
        <f>'Detailed Report'!AU830/1.14</f>
        <v>28.061403508771932</v>
      </c>
      <c r="S834" s="110">
        <f>'Detailed Report'!AU830-'........... - Otlob'!R834</f>
        <v>3.9285964912280669</v>
      </c>
    </row>
    <row r="835" spans="1:19" x14ac:dyDescent="0.25">
      <c r="A835" s="105">
        <f>+IF(B835="","",SUBTOTAL(3,B$8:B835))</f>
        <v>828</v>
      </c>
      <c r="B835" s="106" t="str">
        <f>'Detailed Report'!O831</f>
        <v>Fuddruckers - Concord Plaza Mall</v>
      </c>
      <c r="C835" s="107">
        <f>TRUNC('Detailed Report'!Q831,0)</f>
        <v>46050</v>
      </c>
      <c r="D835" s="108">
        <f>'Detailed Report'!P831</f>
        <v>3424456835</v>
      </c>
      <c r="E835" s="106" t="str">
        <f>'Detailed Report'!S831</f>
        <v>Successful</v>
      </c>
      <c r="F835" s="109">
        <f>IF(E835=$E$6,('Detailed Report'!Y831),IF(E835=$E$5,(0),0))</f>
        <v>363.99</v>
      </c>
      <c r="G835" s="106">
        <f>IF(E835=$E$6,('Detailed Report'!AQ831),IF(E835=$E$5,('Detailed Report'!AW831),0))</f>
        <v>319.28946999999999</v>
      </c>
      <c r="H835" s="106">
        <f>'Detailed Report'!AS831</f>
        <v>79.822370000000006</v>
      </c>
      <c r="I835" s="106">
        <f>'Detailed Report'!AT831</f>
        <v>11.175131800000001</v>
      </c>
      <c r="J835" s="106">
        <f>'Detailed Report'!AO831</f>
        <v>6.3698249999999996</v>
      </c>
      <c r="K835" s="106">
        <f>'Detailed Report'!AP831</f>
        <v>0.89177550000000005</v>
      </c>
      <c r="L835" s="106">
        <f>'Detailed Report'!AU831/1.14</f>
        <v>28.061403508771932</v>
      </c>
      <c r="M835" s="106">
        <f>'Detailed Report'!AU831-L835</f>
        <v>3.9285964912280669</v>
      </c>
      <c r="N835" s="110">
        <f>'Detailed Report'!AW831</f>
        <v>233.74100000000001</v>
      </c>
      <c r="O835" s="111">
        <f t="shared" si="58"/>
        <v>85.54846999999998</v>
      </c>
      <c r="P835" s="110">
        <f>'Detailed Report'!AM831</f>
        <v>0</v>
      </c>
      <c r="Q835" s="110">
        <f>'Detailed Report'!AN831</f>
        <v>0</v>
      </c>
      <c r="R835" s="110">
        <f>'Detailed Report'!AU831/1.14</f>
        <v>28.061403508771932</v>
      </c>
      <c r="S835" s="110">
        <f>'Detailed Report'!AU831-'........... - Otlob'!R835</f>
        <v>3.9285964912280669</v>
      </c>
    </row>
    <row r="836" spans="1:19" x14ac:dyDescent="0.25">
      <c r="A836" s="105">
        <f>+IF(B836="","",SUBTOTAL(3,B$8:B836))</f>
        <v>829</v>
      </c>
      <c r="B836" s="106" t="str">
        <f>'Detailed Report'!O832</f>
        <v>Fuddruckers - City Stars</v>
      </c>
      <c r="C836" s="107">
        <f>TRUNC('Detailed Report'!Q832,0)</f>
        <v>46050</v>
      </c>
      <c r="D836" s="108">
        <f>'Detailed Report'!P832</f>
        <v>3424475076</v>
      </c>
      <c r="E836" s="106" t="str">
        <f>'Detailed Report'!S832</f>
        <v>Successful</v>
      </c>
      <c r="F836" s="109">
        <f>IF(E836=$E$6,('Detailed Report'!Y832),IF(E836=$E$5,(0),0))</f>
        <v>548.48</v>
      </c>
      <c r="G836" s="106">
        <f>IF(E836=$E$6,('Detailed Report'!AQ832),IF(E836=$E$5,('Detailed Report'!AW832),0))</f>
        <v>481.12281000000002</v>
      </c>
      <c r="H836" s="106">
        <f>'Detailed Report'!AS832</f>
        <v>120.2807</v>
      </c>
      <c r="I836" s="106">
        <f>'Detailed Report'!AT832</f>
        <v>16.839297999999999</v>
      </c>
      <c r="J836" s="106">
        <f>'Detailed Report'!AO832</f>
        <v>0</v>
      </c>
      <c r="K836" s="106">
        <f>'Detailed Report'!AP832</f>
        <v>0</v>
      </c>
      <c r="L836" s="106">
        <f>'Detailed Report'!AU832/1.14</f>
        <v>26.307017543859651</v>
      </c>
      <c r="M836" s="106">
        <f>'Detailed Report'!AU832-L836</f>
        <v>3.6829824561403477</v>
      </c>
      <c r="N836" s="110">
        <f>'Detailed Report'!AW832</f>
        <v>381.37</v>
      </c>
      <c r="O836" s="111">
        <f t="shared" si="58"/>
        <v>99.752810000000011</v>
      </c>
      <c r="P836" s="110">
        <f>'Detailed Report'!AM832</f>
        <v>0</v>
      </c>
      <c r="Q836" s="110">
        <f>'Detailed Report'!AN832</f>
        <v>0</v>
      </c>
      <c r="R836" s="110">
        <f>'Detailed Report'!AU832/1.14</f>
        <v>26.307017543859651</v>
      </c>
      <c r="S836" s="110">
        <f>'Detailed Report'!AU832-'........... - Otlob'!R836</f>
        <v>3.6829824561403477</v>
      </c>
    </row>
    <row r="837" spans="1:19" x14ac:dyDescent="0.25">
      <c r="A837" s="105">
        <f>+IF(B837="","",SUBTOTAL(3,B$8:B837))</f>
        <v>830</v>
      </c>
      <c r="B837" s="106" t="str">
        <f>'Detailed Report'!O833</f>
        <v>Fuddruckers - City Stars</v>
      </c>
      <c r="C837" s="107">
        <f>TRUNC('Detailed Report'!Q833,0)</f>
        <v>46050</v>
      </c>
      <c r="D837" s="108">
        <f>'Detailed Report'!P833</f>
        <v>3424498619</v>
      </c>
      <c r="E837" s="106" t="str">
        <f>'Detailed Report'!S833</f>
        <v>Successful</v>
      </c>
      <c r="F837" s="109">
        <f>IF(E837=$E$6,('Detailed Report'!Y833),IF(E837=$E$5,(0),0))</f>
        <v>390</v>
      </c>
      <c r="G837" s="106">
        <f>IF(E837=$E$6,('Detailed Report'!AQ833),IF(E837=$E$5,('Detailed Report'!AW833),0))</f>
        <v>342.10525999999999</v>
      </c>
      <c r="H837" s="106">
        <f>'Detailed Report'!AS833</f>
        <v>85.526319999999998</v>
      </c>
      <c r="I837" s="106">
        <f>'Detailed Report'!AT833</f>
        <v>11.973684799999999</v>
      </c>
      <c r="J837" s="106">
        <f>'Detailed Report'!AO833</f>
        <v>6.8250000000000002</v>
      </c>
      <c r="K837" s="106">
        <f>'Detailed Report'!AP833</f>
        <v>0.95550000000000002</v>
      </c>
      <c r="L837" s="106">
        <f>'Detailed Report'!AU833/1.14</f>
        <v>25.42982456140351</v>
      </c>
      <c r="M837" s="106">
        <f>'Detailed Report'!AU833-L837</f>
        <v>3.5601754385964881</v>
      </c>
      <c r="N837" s="110">
        <f>'Detailed Report'!AW833</f>
        <v>255.72900000000001</v>
      </c>
      <c r="O837" s="111">
        <f t="shared" si="58"/>
        <v>86.376259999999974</v>
      </c>
      <c r="P837" s="110">
        <f>'Detailed Report'!AM833</f>
        <v>0</v>
      </c>
      <c r="Q837" s="110">
        <f>'Detailed Report'!AN833</f>
        <v>0</v>
      </c>
      <c r="R837" s="110">
        <f>'Detailed Report'!AU833/1.14</f>
        <v>25.42982456140351</v>
      </c>
      <c r="S837" s="110">
        <f>'Detailed Report'!AU833-'........... - Otlob'!R837</f>
        <v>3.5601754385964881</v>
      </c>
    </row>
    <row r="838" spans="1:19" x14ac:dyDescent="0.25">
      <c r="A838" s="105">
        <f>+IF(B838="","",SUBTOTAL(3,B$8:B838))</f>
        <v>831</v>
      </c>
      <c r="B838" s="106" t="str">
        <f>'Detailed Report'!O834</f>
        <v>Fuddruckers - New Maadi</v>
      </c>
      <c r="C838" s="107">
        <f>TRUNC('Detailed Report'!Q834,0)</f>
        <v>46050</v>
      </c>
      <c r="D838" s="108">
        <f>'Detailed Report'!P834</f>
        <v>3424539684</v>
      </c>
      <c r="E838" s="106" t="str">
        <f>'Detailed Report'!S834</f>
        <v>Successful</v>
      </c>
      <c r="F838" s="109">
        <f>IF(E838=$E$6,('Detailed Report'!Y834),IF(E838=$E$5,(0),0))</f>
        <v>203.99</v>
      </c>
      <c r="G838" s="106">
        <f>IF(E838=$E$6,('Detailed Report'!AQ834),IF(E838=$E$5,('Detailed Report'!AW834),0))</f>
        <v>178.93860000000001</v>
      </c>
      <c r="H838" s="106">
        <f>'Detailed Report'!AS834</f>
        <v>44.734650000000002</v>
      </c>
      <c r="I838" s="106">
        <f>'Detailed Report'!AT834</f>
        <v>6.2628510000000004</v>
      </c>
      <c r="J838" s="106">
        <f>'Detailed Report'!AO834</f>
        <v>3.5698249999999998</v>
      </c>
      <c r="K838" s="106">
        <f>'Detailed Report'!AP834</f>
        <v>0.49977549999999998</v>
      </c>
      <c r="L838" s="106">
        <f>'Detailed Report'!AU834/1.14</f>
        <v>25.42982456140351</v>
      </c>
      <c r="M838" s="106">
        <f>'Detailed Report'!AU834-L838</f>
        <v>3.5601754385964881</v>
      </c>
      <c r="N838" s="110">
        <f>'Detailed Report'!AW834</f>
        <v>119.93300000000001</v>
      </c>
      <c r="O838" s="111">
        <f t="shared" si="58"/>
        <v>59.005600000000001</v>
      </c>
      <c r="P838" s="110">
        <f>'Detailed Report'!AM834</f>
        <v>0</v>
      </c>
      <c r="Q838" s="110">
        <f>'Detailed Report'!AN834</f>
        <v>0</v>
      </c>
      <c r="R838" s="110">
        <f>'Detailed Report'!AU834/1.14</f>
        <v>25.42982456140351</v>
      </c>
      <c r="S838" s="110">
        <f>'Detailed Report'!AU834-'........... - Otlob'!R838</f>
        <v>3.5601754385964881</v>
      </c>
    </row>
    <row r="839" spans="1:19" x14ac:dyDescent="0.25">
      <c r="A839" s="105">
        <f>+IF(B839="","",SUBTOTAL(3,B$8:B839))</f>
        <v>832</v>
      </c>
      <c r="B839" s="106" t="str">
        <f>'Detailed Report'!O835</f>
        <v>Fuddruckers - Concord Plaza Mall</v>
      </c>
      <c r="C839" s="107">
        <f>TRUNC('Detailed Report'!Q835,0)</f>
        <v>46050</v>
      </c>
      <c r="D839" s="108">
        <f>'Detailed Report'!P835</f>
        <v>3424579741</v>
      </c>
      <c r="E839" s="106" t="str">
        <f>'Detailed Report'!S835</f>
        <v>Successful</v>
      </c>
      <c r="F839" s="109">
        <f>IF(E839=$E$6,('Detailed Report'!Y835),IF(E839=$E$5,(0),0))</f>
        <v>462.98</v>
      </c>
      <c r="G839" s="106">
        <f>IF(E839=$E$6,('Detailed Report'!AQ835),IF(E839=$E$5,('Detailed Report'!AW835),0))</f>
        <v>406.12281000000002</v>
      </c>
      <c r="H839" s="106">
        <f>'Detailed Report'!AS835</f>
        <v>101.5307</v>
      </c>
      <c r="I839" s="106">
        <f>'Detailed Report'!AT835</f>
        <v>14.214297999999999</v>
      </c>
      <c r="J839" s="106">
        <f>'Detailed Report'!AO835</f>
        <v>8.10215</v>
      </c>
      <c r="K839" s="106">
        <f>'Detailed Report'!AP835</f>
        <v>1.134301</v>
      </c>
      <c r="L839" s="106">
        <f>'Detailed Report'!AU835/1.14</f>
        <v>28.061403508771932</v>
      </c>
      <c r="M839" s="106">
        <f>'Detailed Report'!AU835-L839</f>
        <v>3.9285964912280669</v>
      </c>
      <c r="N839" s="110">
        <f>'Detailed Report'!AW835</f>
        <v>306.00900000000001</v>
      </c>
      <c r="O839" s="111">
        <f t="shared" si="58"/>
        <v>100.11381</v>
      </c>
      <c r="P839" s="110">
        <f>'Detailed Report'!AM835</f>
        <v>0</v>
      </c>
      <c r="Q839" s="110">
        <f>'Detailed Report'!AN835</f>
        <v>0</v>
      </c>
      <c r="R839" s="110">
        <f>'Detailed Report'!AU835/1.14</f>
        <v>28.061403508771932</v>
      </c>
      <c r="S839" s="110">
        <f>'Detailed Report'!AU835-'........... - Otlob'!R839</f>
        <v>3.9285964912280669</v>
      </c>
    </row>
    <row r="840" spans="1:19" x14ac:dyDescent="0.25">
      <c r="A840" s="105">
        <f>+IF(B840="","",SUBTOTAL(3,B$8:B840))</f>
        <v>833</v>
      </c>
      <c r="B840" s="106" t="str">
        <f>'Detailed Report'!O836</f>
        <v>Fuddruckers - Concord Plaza Mall</v>
      </c>
      <c r="C840" s="107">
        <f>TRUNC('Detailed Report'!Q836,0)</f>
        <v>46050</v>
      </c>
      <c r="D840" s="108">
        <f>'Detailed Report'!P836</f>
        <v>3424582461</v>
      </c>
      <c r="E840" s="106" t="str">
        <f>'Detailed Report'!S836</f>
        <v>Successful</v>
      </c>
      <c r="F840" s="109">
        <f>IF(E840=$E$6,('Detailed Report'!Y836),IF(E840=$E$5,(0),0))</f>
        <v>639.98</v>
      </c>
      <c r="G840" s="106">
        <f>IF(E840=$E$6,('Detailed Report'!AQ836),IF(E840=$E$5,('Detailed Report'!AW836),0))</f>
        <v>561.38595999999995</v>
      </c>
      <c r="H840" s="106">
        <f>'Detailed Report'!AS836</f>
        <v>140.34648999999999</v>
      </c>
      <c r="I840" s="106">
        <f>'Detailed Report'!AT836</f>
        <v>19.6485086</v>
      </c>
      <c r="J840" s="106">
        <f>'Detailed Report'!AO836</f>
        <v>11.19965</v>
      </c>
      <c r="K840" s="106">
        <f>'Detailed Report'!AP836</f>
        <v>1.5679510000000001</v>
      </c>
      <c r="L840" s="106">
        <f>'Detailed Report'!AU836/1.14</f>
        <v>28.061403508771932</v>
      </c>
      <c r="M840" s="106">
        <f>'Detailed Report'!AU836-L840</f>
        <v>3.9285964912280669</v>
      </c>
      <c r="N840" s="110">
        <f>'Detailed Report'!AW836</f>
        <v>435.22699999999998</v>
      </c>
      <c r="O840" s="111">
        <f t="shared" si="58"/>
        <v>126.15895999999998</v>
      </c>
      <c r="P840" s="110">
        <f>'Detailed Report'!AM836</f>
        <v>0</v>
      </c>
      <c r="Q840" s="110">
        <f>'Detailed Report'!AN836</f>
        <v>0</v>
      </c>
      <c r="R840" s="110">
        <f>'Detailed Report'!AU836/1.14</f>
        <v>28.061403508771932</v>
      </c>
      <c r="S840" s="110">
        <f>'Detailed Report'!AU836-'........... - Otlob'!R840</f>
        <v>3.9285964912280669</v>
      </c>
    </row>
    <row r="841" spans="1:19" x14ac:dyDescent="0.25">
      <c r="A841" s="105">
        <f>+IF(B841="","",SUBTOTAL(3,B$8:B841))</f>
        <v>834</v>
      </c>
      <c r="B841" s="106" t="str">
        <f>'Detailed Report'!O837</f>
        <v>Fuddruckers - Concord Plaza Mall</v>
      </c>
      <c r="C841" s="107">
        <f>TRUNC('Detailed Report'!Q837,0)</f>
        <v>46050</v>
      </c>
      <c r="D841" s="108">
        <f>'Detailed Report'!P837</f>
        <v>3424624318</v>
      </c>
      <c r="E841" s="106" t="str">
        <f>'Detailed Report'!S837</f>
        <v>Successful</v>
      </c>
      <c r="F841" s="109">
        <f>IF(E841=$E$6,('Detailed Report'!Y837),IF(E841=$E$5,(0),0))</f>
        <v>616.67999999999995</v>
      </c>
      <c r="G841" s="106">
        <f>IF(E841=$E$6,('Detailed Report'!AQ837),IF(E841=$E$5,('Detailed Report'!AW837),0))</f>
        <v>540.94736999999998</v>
      </c>
      <c r="H841" s="106">
        <f>'Detailed Report'!AS837</f>
        <v>135.23684</v>
      </c>
      <c r="I841" s="106">
        <f>'Detailed Report'!AT837</f>
        <v>18.933157600000001</v>
      </c>
      <c r="J841" s="106">
        <f>'Detailed Report'!AO837</f>
        <v>10.7919</v>
      </c>
      <c r="K841" s="106">
        <f>'Detailed Report'!AP837</f>
        <v>1.510866</v>
      </c>
      <c r="L841" s="106">
        <f>'Detailed Report'!AU837/1.14</f>
        <v>0</v>
      </c>
      <c r="M841" s="106">
        <f>'Detailed Report'!AU837-L841</f>
        <v>0</v>
      </c>
      <c r="N841" s="110">
        <f>'Detailed Report'!AW837</f>
        <v>416.00700000000001</v>
      </c>
      <c r="O841" s="111">
        <f t="shared" ref="O841:O904" si="59">G841-N841</f>
        <v>124.94036999999997</v>
      </c>
      <c r="P841" s="110">
        <f>'Detailed Report'!AM837</f>
        <v>30</v>
      </c>
      <c r="Q841" s="110">
        <f>'Detailed Report'!AN837</f>
        <v>4.2</v>
      </c>
      <c r="R841" s="110">
        <f>'Detailed Report'!AU837/1.14</f>
        <v>0</v>
      </c>
      <c r="S841" s="110">
        <f>'Detailed Report'!AU837-'........... - Otlob'!R841</f>
        <v>0</v>
      </c>
    </row>
    <row r="842" spans="1:19" x14ac:dyDescent="0.25">
      <c r="A842" s="105">
        <f>+IF(B842="","",SUBTOTAL(3,B$8:B842))</f>
        <v>835</v>
      </c>
      <c r="B842" s="106" t="str">
        <f>'Detailed Report'!O838</f>
        <v>Fuddruckers - Concord Plaza Mall</v>
      </c>
      <c r="C842" s="107">
        <f>TRUNC('Detailed Report'!Q838,0)</f>
        <v>46050</v>
      </c>
      <c r="D842" s="108">
        <f>'Detailed Report'!P838</f>
        <v>3424631877</v>
      </c>
      <c r="E842" s="106" t="str">
        <f>'Detailed Report'!S838</f>
        <v>Successful</v>
      </c>
      <c r="F842" s="109">
        <f>IF(E842=$E$6,('Detailed Report'!Y838),IF(E842=$E$5,(0),0))</f>
        <v>391.97</v>
      </c>
      <c r="G842" s="106">
        <f>IF(E842=$E$6,('Detailed Report'!AQ838),IF(E842=$E$5,('Detailed Report'!AW838),0))</f>
        <v>343.83332999999999</v>
      </c>
      <c r="H842" s="106">
        <f>'Detailed Report'!AS838</f>
        <v>85.958330000000004</v>
      </c>
      <c r="I842" s="106">
        <f>'Detailed Report'!AT838</f>
        <v>12.0341662</v>
      </c>
      <c r="J842" s="106">
        <f>'Detailed Report'!AO838</f>
        <v>6.8594749999999998</v>
      </c>
      <c r="K842" s="106">
        <f>'Detailed Report'!AP838</f>
        <v>0.96032649999999997</v>
      </c>
      <c r="L842" s="106">
        <f>'Detailed Report'!AU838/1.14</f>
        <v>28.938596491228076</v>
      </c>
      <c r="M842" s="106">
        <f>'Detailed Report'!AU838-L842</f>
        <v>4.0514035087719265</v>
      </c>
      <c r="N842" s="110">
        <f>'Detailed Report'!AW838</f>
        <v>253.16800000000001</v>
      </c>
      <c r="O842" s="111">
        <f t="shared" si="59"/>
        <v>90.665329999999983</v>
      </c>
      <c r="P842" s="110">
        <f>'Detailed Report'!AM838</f>
        <v>0</v>
      </c>
      <c r="Q842" s="110">
        <f>'Detailed Report'!AN838</f>
        <v>0</v>
      </c>
      <c r="R842" s="110">
        <f>'Detailed Report'!AU838/1.14</f>
        <v>28.938596491228076</v>
      </c>
      <c r="S842" s="110">
        <f>'Detailed Report'!AU838-'........... - Otlob'!R842</f>
        <v>4.0514035087719265</v>
      </c>
    </row>
    <row r="843" spans="1:19" x14ac:dyDescent="0.25">
      <c r="A843" s="105">
        <f>+IF(B843="","",SUBTOTAL(3,B$8:B843))</f>
        <v>836</v>
      </c>
      <c r="B843" s="106" t="str">
        <f>'Detailed Report'!O839</f>
        <v>Fuddruckers - New Maadi</v>
      </c>
      <c r="C843" s="107">
        <f>TRUNC('Detailed Report'!Q839,0)</f>
        <v>46050</v>
      </c>
      <c r="D843" s="108">
        <f>'Detailed Report'!P839</f>
        <v>3424643140</v>
      </c>
      <c r="E843" s="106" t="str">
        <f>'Detailed Report'!S839</f>
        <v>Successful</v>
      </c>
      <c r="F843" s="109">
        <f>IF(E843=$E$6,('Detailed Report'!Y839),IF(E843=$E$5,(0),0))</f>
        <v>1136.96</v>
      </c>
      <c r="G843" s="106">
        <f>IF(E843=$E$6,('Detailed Report'!AQ839),IF(E843=$E$5,('Detailed Report'!AW839),0))</f>
        <v>997.33333000000005</v>
      </c>
      <c r="H843" s="106">
        <f>'Detailed Report'!AS839</f>
        <v>249.33332999999999</v>
      </c>
      <c r="I843" s="106">
        <f>'Detailed Report'!AT839</f>
        <v>34.906666199999997</v>
      </c>
      <c r="J843" s="106">
        <f>'Detailed Report'!AO839</f>
        <v>19.896799999999999</v>
      </c>
      <c r="K843" s="106">
        <f>'Detailed Report'!AP839</f>
        <v>2.785552</v>
      </c>
      <c r="L843" s="106">
        <f>'Detailed Report'!AU839/1.14</f>
        <v>24.55263157894737</v>
      </c>
      <c r="M843" s="106">
        <f>'Detailed Report'!AU839-L843</f>
        <v>3.4373684210526285</v>
      </c>
      <c r="N843" s="110">
        <f>'Detailed Report'!AW839</f>
        <v>802.048</v>
      </c>
      <c r="O843" s="111">
        <f t="shared" si="59"/>
        <v>195.28533000000004</v>
      </c>
      <c r="P843" s="110">
        <f>'Detailed Report'!AM839</f>
        <v>0</v>
      </c>
      <c r="Q843" s="110">
        <f>'Detailed Report'!AN839</f>
        <v>0</v>
      </c>
      <c r="R843" s="110">
        <f>'Detailed Report'!AU839/1.14</f>
        <v>24.55263157894737</v>
      </c>
      <c r="S843" s="110">
        <f>'Detailed Report'!AU839-'........... - Otlob'!R843</f>
        <v>3.4373684210526285</v>
      </c>
    </row>
    <row r="844" spans="1:19" x14ac:dyDescent="0.25">
      <c r="A844" s="105">
        <f>+IF(B844="","",SUBTOTAL(3,B$8:B844))</f>
        <v>837</v>
      </c>
      <c r="B844" s="106" t="str">
        <f>'Detailed Report'!O840</f>
        <v>Fuddruckers - New Maadi</v>
      </c>
      <c r="C844" s="107">
        <f>TRUNC('Detailed Report'!Q840,0)</f>
        <v>46050</v>
      </c>
      <c r="D844" s="108">
        <f>'Detailed Report'!P840</f>
        <v>3424658581</v>
      </c>
      <c r="E844" s="106" t="str">
        <f>'Detailed Report'!S840</f>
        <v>Successful</v>
      </c>
      <c r="F844" s="109">
        <f>IF(E844=$E$6,('Detailed Report'!Y840),IF(E844=$E$5,(0),0))</f>
        <v>365.68</v>
      </c>
      <c r="G844" s="106">
        <f>IF(E844=$E$6,('Detailed Report'!AQ840),IF(E844=$E$5,('Detailed Report'!AW840),0))</f>
        <v>320.77193</v>
      </c>
      <c r="H844" s="106">
        <f>'Detailed Report'!AS840</f>
        <v>80.192980000000006</v>
      </c>
      <c r="I844" s="106">
        <f>'Detailed Report'!AT840</f>
        <v>11.227017200000001</v>
      </c>
      <c r="J844" s="106">
        <f>'Detailed Report'!AO840</f>
        <v>6.3994</v>
      </c>
      <c r="K844" s="106">
        <f>'Detailed Report'!AP840</f>
        <v>0.89591600000000005</v>
      </c>
      <c r="L844" s="106">
        <f>'Detailed Report'!AU840/1.14</f>
        <v>23.67543859649123</v>
      </c>
      <c r="M844" s="106">
        <f>'Detailed Report'!AU840-L844</f>
        <v>3.3145614035087689</v>
      </c>
      <c r="N844" s="110">
        <f>'Detailed Report'!AW840</f>
        <v>239.97499999999999</v>
      </c>
      <c r="O844" s="111">
        <f t="shared" si="59"/>
        <v>80.796930000000003</v>
      </c>
      <c r="P844" s="110">
        <f>'Detailed Report'!AM840</f>
        <v>0</v>
      </c>
      <c r="Q844" s="110">
        <f>'Detailed Report'!AN840</f>
        <v>0</v>
      </c>
      <c r="R844" s="110">
        <f>'Detailed Report'!AU840/1.14</f>
        <v>23.67543859649123</v>
      </c>
      <c r="S844" s="110">
        <f>'Detailed Report'!AU840-'........... - Otlob'!R844</f>
        <v>3.3145614035087689</v>
      </c>
    </row>
    <row r="845" spans="1:19" x14ac:dyDescent="0.25">
      <c r="A845" s="105">
        <f>+IF(B845="","",SUBTOTAL(3,B$8:B845))</f>
        <v>838</v>
      </c>
      <c r="B845" s="106" t="str">
        <f>'Detailed Report'!O841</f>
        <v>Fuddruckers - New Maadi</v>
      </c>
      <c r="C845" s="107">
        <f>TRUNC('Detailed Report'!Q841,0)</f>
        <v>46050</v>
      </c>
      <c r="D845" s="108">
        <f>'Detailed Report'!P841</f>
        <v>3424724524</v>
      </c>
      <c r="E845" s="106" t="str">
        <f>'Detailed Report'!S841</f>
        <v>Successful</v>
      </c>
      <c r="F845" s="109">
        <f>IF(E845=$E$6,('Detailed Report'!Y841),IF(E845=$E$5,(0),0))</f>
        <v>1288.96</v>
      </c>
      <c r="G845" s="106">
        <f>IF(E845=$E$6,('Detailed Report'!AQ841),IF(E845=$E$5,('Detailed Report'!AW841),0))</f>
        <v>1130.6666700000001</v>
      </c>
      <c r="H845" s="106">
        <f>'Detailed Report'!AS841</f>
        <v>282.66667000000001</v>
      </c>
      <c r="I845" s="106">
        <f>'Detailed Report'!AT841</f>
        <v>39.5733338</v>
      </c>
      <c r="J845" s="106">
        <f>'Detailed Report'!AO841</f>
        <v>22.55679825</v>
      </c>
      <c r="K845" s="106">
        <f>'Detailed Report'!AP841</f>
        <v>3.157951755</v>
      </c>
      <c r="L845" s="106">
        <f>'Detailed Report'!AU841/1.14</f>
        <v>0</v>
      </c>
      <c r="M845" s="106">
        <f>'Detailed Report'!AU841-L845</f>
        <v>0</v>
      </c>
      <c r="N845" s="110">
        <f>'Detailed Report'!AW841</f>
        <v>941.005</v>
      </c>
      <c r="O845" s="111">
        <f t="shared" si="59"/>
        <v>189.66167000000007</v>
      </c>
      <c r="P845" s="110">
        <f>'Detailed Report'!AM841</f>
        <v>0</v>
      </c>
      <c r="Q845" s="110">
        <f>'Detailed Report'!AN841</f>
        <v>0</v>
      </c>
      <c r="R845" s="110">
        <f>'Detailed Report'!AU841/1.14</f>
        <v>0</v>
      </c>
      <c r="S845" s="110">
        <f>'Detailed Report'!AU841-'........... - Otlob'!R845</f>
        <v>0</v>
      </c>
    </row>
    <row r="846" spans="1:19" x14ac:dyDescent="0.25">
      <c r="A846" s="105">
        <f>+IF(B846="","",SUBTOTAL(3,B$8:B846))</f>
        <v>839</v>
      </c>
      <c r="B846" s="106" t="str">
        <f>'Detailed Report'!O842</f>
        <v>Fuddruckers - Concord Plaza Mall</v>
      </c>
      <c r="C846" s="107">
        <f>TRUNC('Detailed Report'!Q842,0)</f>
        <v>46050</v>
      </c>
      <c r="D846" s="108">
        <f>'Detailed Report'!P842</f>
        <v>3424739177</v>
      </c>
      <c r="E846" s="106" t="str">
        <f>'Detailed Report'!S842</f>
        <v>Successful</v>
      </c>
      <c r="F846" s="109">
        <f>IF(E846=$E$6,('Detailed Report'!Y842),IF(E846=$E$5,(0),0))</f>
        <v>683.98</v>
      </c>
      <c r="G846" s="106">
        <f>IF(E846=$E$6,('Detailed Report'!AQ842),IF(E846=$E$5,('Detailed Report'!AW842),0))</f>
        <v>599.98245999999995</v>
      </c>
      <c r="H846" s="106">
        <f>'Detailed Report'!AS842</f>
        <v>149.99562</v>
      </c>
      <c r="I846" s="106">
        <f>'Detailed Report'!AT842</f>
        <v>20.9993868</v>
      </c>
      <c r="J846" s="106">
        <f>'Detailed Report'!AO842</f>
        <v>11.96965</v>
      </c>
      <c r="K846" s="106">
        <f>'Detailed Report'!AP842</f>
        <v>1.675751</v>
      </c>
      <c r="L846" s="106">
        <f>'Detailed Report'!AU842/1.14</f>
        <v>28.061403508771932</v>
      </c>
      <c r="M846" s="106">
        <f>'Detailed Report'!AU842-L846</f>
        <v>3.9285964912280669</v>
      </c>
      <c r="N846" s="110">
        <f>'Detailed Report'!AW842</f>
        <v>467.35</v>
      </c>
      <c r="O846" s="111">
        <f t="shared" si="59"/>
        <v>132.63245999999992</v>
      </c>
      <c r="P846" s="110">
        <f>'Detailed Report'!AM842</f>
        <v>0</v>
      </c>
      <c r="Q846" s="110">
        <f>'Detailed Report'!AN842</f>
        <v>0</v>
      </c>
      <c r="R846" s="110">
        <f>'Detailed Report'!AU842/1.14</f>
        <v>28.061403508771932</v>
      </c>
      <c r="S846" s="110">
        <f>'Detailed Report'!AU842-'........... - Otlob'!R846</f>
        <v>3.9285964912280669</v>
      </c>
    </row>
    <row r="847" spans="1:19" x14ac:dyDescent="0.25">
      <c r="A847" s="105">
        <f>+IF(B847="","",SUBTOTAL(3,B$8:B847))</f>
        <v>840</v>
      </c>
      <c r="B847" s="106" t="str">
        <f>'Detailed Report'!O843</f>
        <v>Fuddruckers - Concord Plaza Mall</v>
      </c>
      <c r="C847" s="107">
        <f>TRUNC('Detailed Report'!Q843,0)</f>
        <v>46050</v>
      </c>
      <c r="D847" s="108">
        <f>'Detailed Report'!P843</f>
        <v>3424740341</v>
      </c>
      <c r="E847" s="106" t="str">
        <f>'Detailed Report'!S843</f>
        <v>Successful</v>
      </c>
      <c r="F847" s="109">
        <f>IF(E847=$E$6,('Detailed Report'!Y843),IF(E847=$E$5,(0),0))</f>
        <v>844</v>
      </c>
      <c r="G847" s="106">
        <f>IF(E847=$E$6,('Detailed Report'!AQ843),IF(E847=$E$5,('Detailed Report'!AW843),0))</f>
        <v>740.35087999999996</v>
      </c>
      <c r="H847" s="106">
        <f>'Detailed Report'!AS843</f>
        <v>185.08771999999999</v>
      </c>
      <c r="I847" s="106">
        <f>'Detailed Report'!AT843</f>
        <v>25.912280800000001</v>
      </c>
      <c r="J847" s="106">
        <f>'Detailed Report'!AO843</f>
        <v>14.77</v>
      </c>
      <c r="K847" s="106">
        <f>'Detailed Report'!AP843</f>
        <v>2.0678000000000001</v>
      </c>
      <c r="L847" s="106">
        <f>'Detailed Report'!AU843/1.14</f>
        <v>28.938596491228076</v>
      </c>
      <c r="M847" s="106">
        <f>'Detailed Report'!AU843-L847</f>
        <v>4.0514035087719265</v>
      </c>
      <c r="N847" s="110">
        <f>'Detailed Report'!AW843</f>
        <v>583.17200000000003</v>
      </c>
      <c r="O847" s="111">
        <f t="shared" si="59"/>
        <v>157.17887999999994</v>
      </c>
      <c r="P847" s="110">
        <f>'Detailed Report'!AM843</f>
        <v>0</v>
      </c>
      <c r="Q847" s="110">
        <f>'Detailed Report'!AN843</f>
        <v>0</v>
      </c>
      <c r="R847" s="110">
        <f>'Detailed Report'!AU843/1.14</f>
        <v>28.938596491228076</v>
      </c>
      <c r="S847" s="110">
        <f>'Detailed Report'!AU843-'........... - Otlob'!R847</f>
        <v>4.0514035087719265</v>
      </c>
    </row>
    <row r="848" spans="1:19" x14ac:dyDescent="0.25">
      <c r="A848" s="105">
        <f>+IF(B848="","",SUBTOTAL(3,B$8:B848))</f>
        <v>841</v>
      </c>
      <c r="B848" s="106" t="str">
        <f>'Detailed Report'!O844</f>
        <v>Fuddruckers - Concord Plaza Mall</v>
      </c>
      <c r="C848" s="107">
        <f>TRUNC('Detailed Report'!Q844,0)</f>
        <v>46050</v>
      </c>
      <c r="D848" s="108">
        <f>'Detailed Report'!P844</f>
        <v>3424761342</v>
      </c>
      <c r="E848" s="106" t="str">
        <f>'Detailed Report'!S844</f>
        <v>Successful</v>
      </c>
      <c r="F848" s="109">
        <f>IF(E848=$E$6,('Detailed Report'!Y844),IF(E848=$E$5,(0),0))</f>
        <v>3159.89</v>
      </c>
      <c r="G848" s="106">
        <f>IF(E848=$E$6,('Detailed Report'!AQ844),IF(E848=$E$5,('Detailed Report'!AW844),0))</f>
        <v>2771.8333299999999</v>
      </c>
      <c r="H848" s="106">
        <f>'Detailed Report'!AS844</f>
        <v>692.95833000000005</v>
      </c>
      <c r="I848" s="106">
        <f>'Detailed Report'!AT844</f>
        <v>97.014166200000005</v>
      </c>
      <c r="J848" s="106">
        <f>'Detailed Report'!AO844</f>
        <v>55.298073250000002</v>
      </c>
      <c r="K848" s="106">
        <f>'Detailed Report'!AP844</f>
        <v>7.7417302550000002</v>
      </c>
      <c r="L848" s="106">
        <f>'Detailed Report'!AU844/1.14</f>
        <v>28.061403508771932</v>
      </c>
      <c r="M848" s="106">
        <f>'Detailed Report'!AU844-L848</f>
        <v>3.9285964912280669</v>
      </c>
      <c r="N848" s="110">
        <f>'Detailed Report'!AW844</f>
        <v>2274.8879999999999</v>
      </c>
      <c r="O848" s="111">
        <f t="shared" si="59"/>
        <v>496.94533000000001</v>
      </c>
      <c r="P848" s="110">
        <f>'Detailed Report'!AM844</f>
        <v>0</v>
      </c>
      <c r="Q848" s="110">
        <f>'Detailed Report'!AN844</f>
        <v>0</v>
      </c>
      <c r="R848" s="110">
        <f>'Detailed Report'!AU844/1.14</f>
        <v>28.061403508771932</v>
      </c>
      <c r="S848" s="110">
        <f>'Detailed Report'!AU844-'........... - Otlob'!R848</f>
        <v>3.9285964912280669</v>
      </c>
    </row>
    <row r="849" spans="1:19" x14ac:dyDescent="0.25">
      <c r="A849" s="105">
        <f>+IF(B849="","",SUBTOTAL(3,B$8:B849))</f>
        <v>842</v>
      </c>
      <c r="B849" s="106" t="str">
        <f>'Detailed Report'!O845</f>
        <v>Fuddruckers - New Maadi</v>
      </c>
      <c r="C849" s="107">
        <f>TRUNC('Detailed Report'!Q845,0)</f>
        <v>46050</v>
      </c>
      <c r="D849" s="108">
        <f>'Detailed Report'!P845</f>
        <v>3424784071</v>
      </c>
      <c r="E849" s="106" t="str">
        <f>'Detailed Report'!S845</f>
        <v>Successful</v>
      </c>
      <c r="F849" s="109">
        <f>IF(E849=$E$6,('Detailed Report'!Y845),IF(E849=$E$5,(0),0))</f>
        <v>1319.89</v>
      </c>
      <c r="G849" s="106">
        <f>IF(E849=$E$6,('Detailed Report'!AQ845),IF(E849=$E$5,('Detailed Report'!AW845),0))</f>
        <v>1157.7982500000001</v>
      </c>
      <c r="H849" s="106">
        <f>'Detailed Report'!AS845</f>
        <v>289.44956000000002</v>
      </c>
      <c r="I849" s="106">
        <f>'Detailed Report'!AT845</f>
        <v>40.522938400000001</v>
      </c>
      <c r="J849" s="106">
        <f>'Detailed Report'!AO845</f>
        <v>23.098075000000001</v>
      </c>
      <c r="K849" s="106">
        <f>'Detailed Report'!AP845</f>
        <v>3.2337305000000001</v>
      </c>
      <c r="L849" s="106">
        <f>'Detailed Report'!AU845/1.14</f>
        <v>26.307017543859651</v>
      </c>
      <c r="M849" s="106">
        <f>'Detailed Report'!AU845-L849</f>
        <v>3.6829824561403477</v>
      </c>
      <c r="N849" s="110">
        <f>'Detailed Report'!AW845</f>
        <v>933.596</v>
      </c>
      <c r="O849" s="111">
        <f t="shared" si="59"/>
        <v>224.20225000000005</v>
      </c>
      <c r="P849" s="110">
        <f>'Detailed Report'!AM845</f>
        <v>0</v>
      </c>
      <c r="Q849" s="110">
        <f>'Detailed Report'!AN845</f>
        <v>0</v>
      </c>
      <c r="R849" s="110">
        <f>'Detailed Report'!AU845/1.14</f>
        <v>26.307017543859651</v>
      </c>
      <c r="S849" s="110">
        <f>'Detailed Report'!AU845-'........... - Otlob'!R849</f>
        <v>3.6829824561403477</v>
      </c>
    </row>
    <row r="850" spans="1:19" x14ac:dyDescent="0.25">
      <c r="A850" s="105">
        <f>+IF(B850="","",SUBTOTAL(3,B$8:B850))</f>
        <v>843</v>
      </c>
      <c r="B850" s="106" t="str">
        <f>'Detailed Report'!O846</f>
        <v>Fuddruckers - New Maadi</v>
      </c>
      <c r="C850" s="107">
        <f>TRUNC('Detailed Report'!Q846,0)</f>
        <v>46050</v>
      </c>
      <c r="D850" s="108">
        <f>'Detailed Report'!P846</f>
        <v>3424791594</v>
      </c>
      <c r="E850" s="106" t="str">
        <f>'Detailed Report'!S846</f>
        <v>Successful</v>
      </c>
      <c r="F850" s="109">
        <f>IF(E850=$E$6,('Detailed Report'!Y846),IF(E850=$E$5,(0),0))</f>
        <v>295.99</v>
      </c>
      <c r="G850" s="106">
        <f>IF(E850=$E$6,('Detailed Report'!AQ846),IF(E850=$E$5,('Detailed Report'!AW846),0))</f>
        <v>259.64035000000001</v>
      </c>
      <c r="H850" s="106">
        <f>'Detailed Report'!AS846</f>
        <v>64.910089999999997</v>
      </c>
      <c r="I850" s="106">
        <f>'Detailed Report'!AT846</f>
        <v>9.0874126000000004</v>
      </c>
      <c r="J850" s="106">
        <f>'Detailed Report'!AO846</f>
        <v>0</v>
      </c>
      <c r="K850" s="106">
        <f>'Detailed Report'!AP846</f>
        <v>0</v>
      </c>
      <c r="L850" s="106">
        <f>'Detailed Report'!AU846/1.14</f>
        <v>0</v>
      </c>
      <c r="M850" s="106">
        <f>'Detailed Report'!AU846-L850</f>
        <v>0</v>
      </c>
      <c r="N850" s="110">
        <f>'Detailed Report'!AW846</f>
        <v>221.99199999999999</v>
      </c>
      <c r="O850" s="111">
        <f t="shared" si="59"/>
        <v>37.648350000000022</v>
      </c>
      <c r="P850" s="110">
        <f>'Detailed Report'!AM846</f>
        <v>0</v>
      </c>
      <c r="Q850" s="110">
        <f>'Detailed Report'!AN846</f>
        <v>0</v>
      </c>
      <c r="R850" s="110">
        <f>'Detailed Report'!AU846/1.14</f>
        <v>0</v>
      </c>
      <c r="S850" s="110">
        <f>'Detailed Report'!AU846-'........... - Otlob'!R850</f>
        <v>0</v>
      </c>
    </row>
    <row r="851" spans="1:19" x14ac:dyDescent="0.25">
      <c r="A851" s="105">
        <f>+IF(B851="","",SUBTOTAL(3,B$8:B851))</f>
        <v>844</v>
      </c>
      <c r="B851" s="106" t="str">
        <f>'Detailed Report'!O847</f>
        <v>Fuddruckers - New Maadi</v>
      </c>
      <c r="C851" s="107">
        <f>TRUNC('Detailed Report'!Q847,0)</f>
        <v>46050</v>
      </c>
      <c r="D851" s="108">
        <f>'Detailed Report'!P847</f>
        <v>3424844153</v>
      </c>
      <c r="E851" s="106" t="str">
        <f>'Detailed Report'!S847</f>
        <v>Successful</v>
      </c>
      <c r="F851" s="109">
        <f>IF(E851=$E$6,('Detailed Report'!Y847),IF(E851=$E$5,(0),0))</f>
        <v>844</v>
      </c>
      <c r="G851" s="106">
        <f>IF(E851=$E$6,('Detailed Report'!AQ847),IF(E851=$E$5,('Detailed Report'!AW847),0))</f>
        <v>740.35087999999996</v>
      </c>
      <c r="H851" s="106">
        <f>'Detailed Report'!AS847</f>
        <v>185.08771999999999</v>
      </c>
      <c r="I851" s="106">
        <f>'Detailed Report'!AT847</f>
        <v>25.912280800000001</v>
      </c>
      <c r="J851" s="106">
        <f>'Detailed Report'!AO847</f>
        <v>14.77</v>
      </c>
      <c r="K851" s="106">
        <f>'Detailed Report'!AP847</f>
        <v>2.0678000000000001</v>
      </c>
      <c r="L851" s="106">
        <f>'Detailed Report'!AU847/1.14</f>
        <v>0</v>
      </c>
      <c r="M851" s="106">
        <f>'Detailed Report'!AU847-L851</f>
        <v>0</v>
      </c>
      <c r="N851" s="110">
        <f>'Detailed Report'!AW847</f>
        <v>616.16200000000003</v>
      </c>
      <c r="O851" s="111">
        <f t="shared" si="59"/>
        <v>124.18887999999993</v>
      </c>
      <c r="P851" s="110">
        <f>'Detailed Report'!AM847</f>
        <v>0</v>
      </c>
      <c r="Q851" s="110">
        <f>'Detailed Report'!AN847</f>
        <v>0</v>
      </c>
      <c r="R851" s="110">
        <f>'Detailed Report'!AU847/1.14</f>
        <v>0</v>
      </c>
      <c r="S851" s="110">
        <f>'Detailed Report'!AU847-'........... - Otlob'!R851</f>
        <v>0</v>
      </c>
    </row>
    <row r="852" spans="1:19" x14ac:dyDescent="0.25">
      <c r="A852" s="105">
        <f>+IF(B852="","",SUBTOTAL(3,B$8:B852))</f>
        <v>845</v>
      </c>
      <c r="B852" s="106" t="str">
        <f>'Detailed Report'!O848</f>
        <v>Fuddruckers - Concord Plaza Mall</v>
      </c>
      <c r="C852" s="107">
        <f>TRUNC('Detailed Report'!Q848,0)</f>
        <v>46050</v>
      </c>
      <c r="D852" s="108">
        <f>'Detailed Report'!P848</f>
        <v>3424868441</v>
      </c>
      <c r="E852" s="106" t="str">
        <f>'Detailed Report'!S848</f>
        <v>Successful</v>
      </c>
      <c r="F852" s="109">
        <f>IF(E852=$E$6,('Detailed Report'!Y848),IF(E852=$E$5,(0),0))</f>
        <v>511.01</v>
      </c>
      <c r="G852" s="106">
        <f>IF(E852=$E$6,('Detailed Report'!AQ848),IF(E852=$E$5,('Detailed Report'!AW848),0))</f>
        <v>448.25439</v>
      </c>
      <c r="H852" s="106">
        <f>'Detailed Report'!AS848</f>
        <v>112.06359999999999</v>
      </c>
      <c r="I852" s="106">
        <f>'Detailed Report'!AT848</f>
        <v>15.688904000000001</v>
      </c>
      <c r="J852" s="106">
        <f>'Detailed Report'!AO848</f>
        <v>0</v>
      </c>
      <c r="K852" s="106">
        <f>'Detailed Report'!AP848</f>
        <v>0</v>
      </c>
      <c r="L852" s="106">
        <f>'Detailed Report'!AU848/1.14</f>
        <v>0</v>
      </c>
      <c r="M852" s="106">
        <f>'Detailed Report'!AU848-L852</f>
        <v>0</v>
      </c>
      <c r="N852" s="110">
        <f>'Detailed Report'!AW848</f>
        <v>383.25700000000001</v>
      </c>
      <c r="O852" s="111">
        <f t="shared" si="59"/>
        <v>64.997389999999996</v>
      </c>
      <c r="P852" s="110">
        <f>'Detailed Report'!AM848</f>
        <v>0</v>
      </c>
      <c r="Q852" s="110">
        <f>'Detailed Report'!AN848</f>
        <v>0</v>
      </c>
      <c r="R852" s="110">
        <f>'Detailed Report'!AU848/1.14</f>
        <v>0</v>
      </c>
      <c r="S852" s="110">
        <f>'Detailed Report'!AU848-'........... - Otlob'!R852</f>
        <v>0</v>
      </c>
    </row>
    <row r="853" spans="1:19" x14ac:dyDescent="0.25">
      <c r="A853" s="105">
        <f>+IF(B853="","",SUBTOTAL(3,B$8:B853))</f>
        <v>846</v>
      </c>
      <c r="B853" s="106" t="str">
        <f>'Detailed Report'!O849</f>
        <v>Fuddruckers - Concord Plaza Mall</v>
      </c>
      <c r="C853" s="107">
        <f>TRUNC('Detailed Report'!Q849,0)</f>
        <v>46050</v>
      </c>
      <c r="D853" s="108">
        <f>'Detailed Report'!P849</f>
        <v>3424896790</v>
      </c>
      <c r="E853" s="106" t="str">
        <f>'Detailed Report'!S849</f>
        <v>Successful</v>
      </c>
      <c r="F853" s="109">
        <f>IF(E853=$E$6,('Detailed Report'!Y849),IF(E853=$E$5,(0),0))</f>
        <v>249.99</v>
      </c>
      <c r="G853" s="106">
        <f>IF(E853=$E$6,('Detailed Report'!AQ849),IF(E853=$E$5,('Detailed Report'!AW849),0))</f>
        <v>219.28946999999999</v>
      </c>
      <c r="H853" s="106">
        <f>'Detailed Report'!AS849</f>
        <v>54.822369999999999</v>
      </c>
      <c r="I853" s="106">
        <f>'Detailed Report'!AT849</f>
        <v>7.6751317999999999</v>
      </c>
      <c r="J853" s="106">
        <f>'Detailed Report'!AO849</f>
        <v>4.3748250000000004</v>
      </c>
      <c r="K853" s="106">
        <f>'Detailed Report'!AP849</f>
        <v>0.61247549999999995</v>
      </c>
      <c r="L853" s="106">
        <f>'Detailed Report'!AU849/1.14</f>
        <v>27.184210526315791</v>
      </c>
      <c r="M853" s="106">
        <f>'Detailed Report'!AU849-L853</f>
        <v>3.8057894736842073</v>
      </c>
      <c r="N853" s="110">
        <f>'Detailed Report'!AW849</f>
        <v>151.51499999999999</v>
      </c>
      <c r="O853" s="111">
        <f t="shared" si="59"/>
        <v>67.774470000000008</v>
      </c>
      <c r="P853" s="110">
        <f>'Detailed Report'!AM849</f>
        <v>0</v>
      </c>
      <c r="Q853" s="110">
        <f>'Detailed Report'!AN849</f>
        <v>0</v>
      </c>
      <c r="R853" s="110">
        <f>'Detailed Report'!AU849/1.14</f>
        <v>27.184210526315791</v>
      </c>
      <c r="S853" s="110">
        <f>'Detailed Report'!AU849-'........... - Otlob'!R853</f>
        <v>3.8057894736842073</v>
      </c>
    </row>
    <row r="854" spans="1:19" x14ac:dyDescent="0.25">
      <c r="A854" s="105">
        <f>+IF(B854="","",SUBTOTAL(3,B$8:B854))</f>
        <v>847</v>
      </c>
      <c r="B854" s="106" t="str">
        <f>'Detailed Report'!O850</f>
        <v>Fuddruckers - City Stars</v>
      </c>
      <c r="C854" s="107">
        <f>TRUNC('Detailed Report'!Q850,0)</f>
        <v>46050</v>
      </c>
      <c r="D854" s="108">
        <f>'Detailed Report'!P850</f>
        <v>3424934275</v>
      </c>
      <c r="E854" s="106" t="str">
        <f>'Detailed Report'!S850</f>
        <v>Successful</v>
      </c>
      <c r="F854" s="109">
        <f>IF(E854=$E$6,('Detailed Report'!Y850),IF(E854=$E$5,(0),0))</f>
        <v>608.98</v>
      </c>
      <c r="G854" s="106">
        <f>IF(E854=$E$6,('Detailed Report'!AQ850),IF(E854=$E$5,('Detailed Report'!AW850),0))</f>
        <v>534.19298000000003</v>
      </c>
      <c r="H854" s="106">
        <f>'Detailed Report'!AS850</f>
        <v>133.54825</v>
      </c>
      <c r="I854" s="106">
        <f>'Detailed Report'!AT850</f>
        <v>18.696755</v>
      </c>
      <c r="J854" s="106">
        <f>'Detailed Report'!AO850</f>
        <v>10.65715</v>
      </c>
      <c r="K854" s="106">
        <f>'Detailed Report'!AP850</f>
        <v>1.4920009999999999</v>
      </c>
      <c r="L854" s="106">
        <f>'Detailed Report'!AU850/1.14</f>
        <v>26.307017543859651</v>
      </c>
      <c r="M854" s="106">
        <f>'Detailed Report'!AU850-L854</f>
        <v>3.6829824561403477</v>
      </c>
      <c r="N854" s="110">
        <f>'Detailed Report'!AW850</f>
        <v>380.39600000000002</v>
      </c>
      <c r="O854" s="111">
        <f t="shared" si="59"/>
        <v>153.79698000000002</v>
      </c>
      <c r="P854" s="110">
        <f>'Detailed Report'!AM850</f>
        <v>30</v>
      </c>
      <c r="Q854" s="110">
        <f>'Detailed Report'!AN850</f>
        <v>4.2</v>
      </c>
      <c r="R854" s="110">
        <f>'Detailed Report'!AU850/1.14</f>
        <v>26.307017543859651</v>
      </c>
      <c r="S854" s="110">
        <f>'Detailed Report'!AU850-'........... - Otlob'!R854</f>
        <v>3.6829824561403477</v>
      </c>
    </row>
    <row r="855" spans="1:19" x14ac:dyDescent="0.25">
      <c r="A855" s="105">
        <f>+IF(B855="","",SUBTOTAL(3,B$8:B855))</f>
        <v>848</v>
      </c>
      <c r="B855" s="106" t="str">
        <f>'Detailed Report'!O851</f>
        <v>Fuddruckers - Concord Plaza Mall</v>
      </c>
      <c r="C855" s="107">
        <f>TRUNC('Detailed Report'!Q851,0)</f>
        <v>46050</v>
      </c>
      <c r="D855" s="108">
        <f>'Detailed Report'!P851</f>
        <v>3425099701</v>
      </c>
      <c r="E855" s="106" t="str">
        <f>'Detailed Report'!S851</f>
        <v>Successful</v>
      </c>
      <c r="F855" s="109">
        <f>IF(E855=$E$6,('Detailed Report'!Y851),IF(E855=$E$5,(0),0))</f>
        <v>271.14999999999998</v>
      </c>
      <c r="G855" s="106">
        <f>IF(E855=$E$6,('Detailed Report'!AQ851),IF(E855=$E$5,('Detailed Report'!AW851),0))</f>
        <v>237.85087999999999</v>
      </c>
      <c r="H855" s="106">
        <f>'Detailed Report'!AS851</f>
        <v>59.462719999999997</v>
      </c>
      <c r="I855" s="106">
        <f>'Detailed Report'!AT851</f>
        <v>8.3247807999999992</v>
      </c>
      <c r="J855" s="106">
        <f>'Detailed Report'!AO851</f>
        <v>4.7451249999999998</v>
      </c>
      <c r="K855" s="106">
        <f>'Detailed Report'!AP851</f>
        <v>0.66431750000000001</v>
      </c>
      <c r="L855" s="106">
        <f>'Detailed Report'!AU851/1.14</f>
        <v>28.061403508771932</v>
      </c>
      <c r="M855" s="106">
        <f>'Detailed Report'!AU851-L855</f>
        <v>3.9285964912280669</v>
      </c>
      <c r="N855" s="110">
        <f>'Detailed Report'!AW851</f>
        <v>165.96299999999999</v>
      </c>
      <c r="O855" s="111">
        <f t="shared" si="59"/>
        <v>71.887879999999996</v>
      </c>
      <c r="P855" s="110">
        <f>'Detailed Report'!AM851</f>
        <v>0</v>
      </c>
      <c r="Q855" s="110">
        <f>'Detailed Report'!AN851</f>
        <v>0</v>
      </c>
      <c r="R855" s="110">
        <f>'Detailed Report'!AU851/1.14</f>
        <v>28.061403508771932</v>
      </c>
      <c r="S855" s="110">
        <f>'Detailed Report'!AU851-'........... - Otlob'!R855</f>
        <v>3.9285964912280669</v>
      </c>
    </row>
    <row r="856" spans="1:19" x14ac:dyDescent="0.25">
      <c r="A856" s="105">
        <f>+IF(B856="","",SUBTOTAL(3,B$8:B856))</f>
        <v>849</v>
      </c>
      <c r="B856" s="106" t="str">
        <f>'Detailed Report'!O852</f>
        <v>Fuddruckers - Concord Plaza Mall</v>
      </c>
      <c r="C856" s="107">
        <f>TRUNC('Detailed Report'!Q852,0)</f>
        <v>46050</v>
      </c>
      <c r="D856" s="108">
        <f>'Detailed Report'!P852</f>
        <v>3425102904</v>
      </c>
      <c r="E856" s="106" t="str">
        <f>'Detailed Report'!S852</f>
        <v>Successful</v>
      </c>
      <c r="F856" s="109">
        <f>IF(E856=$E$6,('Detailed Report'!Y852),IF(E856=$E$5,(0),0))</f>
        <v>839.97</v>
      </c>
      <c r="G856" s="106">
        <f>IF(E856=$E$6,('Detailed Report'!AQ852),IF(E856=$E$5,('Detailed Report'!AW852),0))</f>
        <v>736.81578999999999</v>
      </c>
      <c r="H856" s="106">
        <f>'Detailed Report'!AS852</f>
        <v>184.20394999999999</v>
      </c>
      <c r="I856" s="106">
        <f>'Detailed Report'!AT852</f>
        <v>25.788553</v>
      </c>
      <c r="J856" s="106">
        <f>'Detailed Report'!AO852</f>
        <v>14.699475</v>
      </c>
      <c r="K856" s="106">
        <f>'Detailed Report'!AP852</f>
        <v>2.0579265000000002</v>
      </c>
      <c r="L856" s="106">
        <f>'Detailed Report'!AU852/1.14</f>
        <v>0</v>
      </c>
      <c r="M856" s="106">
        <f>'Detailed Report'!AU852-L856</f>
        <v>0</v>
      </c>
      <c r="N856" s="110">
        <f>'Detailed Report'!AW852</f>
        <v>579.02</v>
      </c>
      <c r="O856" s="111">
        <f t="shared" si="59"/>
        <v>157.79579000000001</v>
      </c>
      <c r="P856" s="110">
        <f>'Detailed Report'!AM852</f>
        <v>30</v>
      </c>
      <c r="Q856" s="110">
        <f>'Detailed Report'!AN852</f>
        <v>4.2</v>
      </c>
      <c r="R856" s="110">
        <f>'Detailed Report'!AU852/1.14</f>
        <v>0</v>
      </c>
      <c r="S856" s="110">
        <f>'Detailed Report'!AU852-'........... - Otlob'!R856</f>
        <v>0</v>
      </c>
    </row>
    <row r="857" spans="1:19" x14ac:dyDescent="0.25">
      <c r="A857" s="105">
        <f>+IF(B857="","",SUBTOTAL(3,B$8:B857))</f>
        <v>850</v>
      </c>
      <c r="B857" s="106" t="str">
        <f>'Detailed Report'!O853</f>
        <v>Fuddruckers - New Maadi</v>
      </c>
      <c r="C857" s="107">
        <f>TRUNC('Detailed Report'!Q853,0)</f>
        <v>46050</v>
      </c>
      <c r="D857" s="108">
        <f>'Detailed Report'!P853</f>
        <v>3425111735</v>
      </c>
      <c r="E857" s="106" t="str">
        <f>'Detailed Report'!S853</f>
        <v>Successful</v>
      </c>
      <c r="F857" s="109">
        <f>IF(E857=$E$6,('Detailed Report'!Y853),IF(E857=$E$5,(0),0))</f>
        <v>237.99</v>
      </c>
      <c r="G857" s="106">
        <f>IF(E857=$E$6,('Detailed Report'!AQ853),IF(E857=$E$5,('Detailed Report'!AW853),0))</f>
        <v>208.76316</v>
      </c>
      <c r="H857" s="106">
        <f>'Detailed Report'!AS853</f>
        <v>52.19079</v>
      </c>
      <c r="I857" s="106">
        <f>'Detailed Report'!AT853</f>
        <v>7.3067105999999997</v>
      </c>
      <c r="J857" s="106">
        <f>'Detailed Report'!AO853</f>
        <v>0</v>
      </c>
      <c r="K857" s="106">
        <f>'Detailed Report'!AP853</f>
        <v>0</v>
      </c>
      <c r="L857" s="106">
        <f>'Detailed Report'!AU853/1.14</f>
        <v>0</v>
      </c>
      <c r="M857" s="106">
        <f>'Detailed Report'!AU853-L857</f>
        <v>0</v>
      </c>
      <c r="N857" s="110">
        <f>'Detailed Report'!AW853</f>
        <v>178.49199999999999</v>
      </c>
      <c r="O857" s="111">
        <f t="shared" si="59"/>
        <v>30.271160000000009</v>
      </c>
      <c r="P857" s="110">
        <f>'Detailed Report'!AM853</f>
        <v>0</v>
      </c>
      <c r="Q857" s="110">
        <f>'Detailed Report'!AN853</f>
        <v>0</v>
      </c>
      <c r="R857" s="110">
        <f>'Detailed Report'!AU853/1.14</f>
        <v>0</v>
      </c>
      <c r="S857" s="110">
        <f>'Detailed Report'!AU853-'........... - Otlob'!R857</f>
        <v>0</v>
      </c>
    </row>
    <row r="858" spans="1:19" x14ac:dyDescent="0.25">
      <c r="A858" s="105">
        <f>+IF(B858="","",SUBTOTAL(3,B$8:B858))</f>
        <v>851</v>
      </c>
      <c r="B858" s="106" t="str">
        <f>'Detailed Report'!O854</f>
        <v>Fuddruckers - City Stars</v>
      </c>
      <c r="C858" s="107">
        <f>TRUNC('Detailed Report'!Q854,0)</f>
        <v>46050</v>
      </c>
      <c r="D858" s="108">
        <f>'Detailed Report'!P854</f>
        <v>3425128741</v>
      </c>
      <c r="E858" s="106" t="str">
        <f>'Detailed Report'!S854</f>
        <v>Successful</v>
      </c>
      <c r="F858" s="109">
        <f>IF(E858=$E$6,('Detailed Report'!Y854),IF(E858=$E$5,(0),0))</f>
        <v>284.63</v>
      </c>
      <c r="G858" s="106">
        <f>IF(E858=$E$6,('Detailed Report'!AQ854),IF(E858=$E$5,('Detailed Report'!AW854),0))</f>
        <v>249.67544000000001</v>
      </c>
      <c r="H858" s="106">
        <f>'Detailed Report'!AS854</f>
        <v>62.418860000000002</v>
      </c>
      <c r="I858" s="106">
        <f>'Detailed Report'!AT854</f>
        <v>8.7386403999999995</v>
      </c>
      <c r="J858" s="106">
        <f>'Detailed Report'!AO854</f>
        <v>0</v>
      </c>
      <c r="K858" s="106">
        <f>'Detailed Report'!AP854</f>
        <v>0</v>
      </c>
      <c r="L858" s="106">
        <f>'Detailed Report'!AU854/1.14</f>
        <v>0</v>
      </c>
      <c r="M858" s="106">
        <f>'Detailed Report'!AU854-L858</f>
        <v>0</v>
      </c>
      <c r="N858" s="110">
        <f>'Detailed Report'!AW854</f>
        <v>213.47200000000001</v>
      </c>
      <c r="O858" s="111">
        <f t="shared" si="59"/>
        <v>36.203440000000001</v>
      </c>
      <c r="P858" s="110">
        <f>'Detailed Report'!AM854</f>
        <v>0</v>
      </c>
      <c r="Q858" s="110">
        <f>'Detailed Report'!AN854</f>
        <v>0</v>
      </c>
      <c r="R858" s="110">
        <f>'Detailed Report'!AU854/1.14</f>
        <v>0</v>
      </c>
      <c r="S858" s="110">
        <f>'Detailed Report'!AU854-'........... - Otlob'!R858</f>
        <v>0</v>
      </c>
    </row>
    <row r="859" spans="1:19" x14ac:dyDescent="0.25">
      <c r="A859" s="105">
        <f>+IF(B859="","",SUBTOTAL(3,B$8:B859))</f>
        <v>852</v>
      </c>
      <c r="B859" s="106" t="str">
        <f>'Detailed Report'!O855</f>
        <v>Fuddruckers - New Maadi</v>
      </c>
      <c r="C859" s="107">
        <f>TRUNC('Detailed Report'!Q855,0)</f>
        <v>46050</v>
      </c>
      <c r="D859" s="108">
        <f>'Detailed Report'!P855</f>
        <v>3425163917</v>
      </c>
      <c r="E859" s="106" t="str">
        <f>'Detailed Report'!S855</f>
        <v>Successful</v>
      </c>
      <c r="F859" s="109">
        <f>IF(E859=$E$6,('Detailed Report'!Y855),IF(E859=$E$5,(0),0))</f>
        <v>866.99</v>
      </c>
      <c r="G859" s="106">
        <f>IF(E859=$E$6,('Detailed Report'!AQ855),IF(E859=$E$5,('Detailed Report'!AW855),0))</f>
        <v>760.51754000000005</v>
      </c>
      <c r="H859" s="106">
        <f>'Detailed Report'!AS855</f>
        <v>190.12939</v>
      </c>
      <c r="I859" s="106">
        <f>'Detailed Report'!AT855</f>
        <v>26.618114599999998</v>
      </c>
      <c r="J859" s="106">
        <f>'Detailed Report'!AO855</f>
        <v>15.172325000000001</v>
      </c>
      <c r="K859" s="106">
        <f>'Detailed Report'!AP855</f>
        <v>2.1241254999999999</v>
      </c>
      <c r="L859" s="106">
        <f>'Detailed Report'!AU855/1.14</f>
        <v>25.42982456140351</v>
      </c>
      <c r="M859" s="106">
        <f>'Detailed Report'!AU855-L859</f>
        <v>3.5601754385964881</v>
      </c>
      <c r="N859" s="110">
        <f>'Detailed Report'!AW855</f>
        <v>603.95600000000002</v>
      </c>
      <c r="O859" s="111">
        <f t="shared" si="59"/>
        <v>156.56154000000004</v>
      </c>
      <c r="P859" s="110">
        <f>'Detailed Report'!AM855</f>
        <v>0</v>
      </c>
      <c r="Q859" s="110">
        <f>'Detailed Report'!AN855</f>
        <v>0</v>
      </c>
      <c r="R859" s="110">
        <f>'Detailed Report'!AU855/1.14</f>
        <v>25.42982456140351</v>
      </c>
      <c r="S859" s="110">
        <f>'Detailed Report'!AU855-'........... - Otlob'!R859</f>
        <v>3.5601754385964881</v>
      </c>
    </row>
    <row r="860" spans="1:19" x14ac:dyDescent="0.25">
      <c r="A860" s="105">
        <f>+IF(B860="","",SUBTOTAL(3,B$8:B860))</f>
        <v>853</v>
      </c>
      <c r="B860" s="106" t="str">
        <f>'Detailed Report'!O856</f>
        <v>Fuddruckers - New Maadi</v>
      </c>
      <c r="C860" s="107">
        <f>TRUNC('Detailed Report'!Q856,0)</f>
        <v>46050</v>
      </c>
      <c r="D860" s="108">
        <f>'Detailed Report'!P856</f>
        <v>3425204821</v>
      </c>
      <c r="E860" s="106" t="str">
        <f>'Detailed Report'!S856</f>
        <v>Successful</v>
      </c>
      <c r="F860" s="109">
        <f>IF(E860=$E$6,('Detailed Report'!Y856),IF(E860=$E$5,(0),0))</f>
        <v>425.99</v>
      </c>
      <c r="G860" s="106">
        <f>IF(E860=$E$6,('Detailed Report'!AQ856),IF(E860=$E$5,('Detailed Report'!AW856),0))</f>
        <v>373.67543999999998</v>
      </c>
      <c r="H860" s="106">
        <f>'Detailed Report'!AS856</f>
        <v>93.418859999999995</v>
      </c>
      <c r="I860" s="106">
        <f>'Detailed Report'!AT856</f>
        <v>13.078640399999999</v>
      </c>
      <c r="J860" s="106">
        <f>'Detailed Report'!AO856</f>
        <v>7.4548249999999996</v>
      </c>
      <c r="K860" s="106">
        <f>'Detailed Report'!AP856</f>
        <v>1.0436755</v>
      </c>
      <c r="L860" s="106">
        <f>'Detailed Report'!AU856/1.14</f>
        <v>0</v>
      </c>
      <c r="M860" s="106">
        <f>'Detailed Report'!AU856-L860</f>
        <v>0</v>
      </c>
      <c r="N860" s="110">
        <f>'Detailed Report'!AW856</f>
        <v>310.99400000000003</v>
      </c>
      <c r="O860" s="111">
        <f t="shared" si="59"/>
        <v>62.681439999999952</v>
      </c>
      <c r="P860" s="110">
        <f>'Detailed Report'!AM856</f>
        <v>0</v>
      </c>
      <c r="Q860" s="110">
        <f>'Detailed Report'!AN856</f>
        <v>0</v>
      </c>
      <c r="R860" s="110">
        <f>'Detailed Report'!AU856/1.14</f>
        <v>0</v>
      </c>
      <c r="S860" s="110">
        <f>'Detailed Report'!AU856-'........... - Otlob'!R860</f>
        <v>0</v>
      </c>
    </row>
    <row r="861" spans="1:19" x14ac:dyDescent="0.25">
      <c r="A861" s="105">
        <f>+IF(B861="","",SUBTOTAL(3,B$8:B861))</f>
        <v>854</v>
      </c>
      <c r="B861" s="106" t="str">
        <f>'Detailed Report'!O857</f>
        <v>Fuddruckers - Concord Plaza Mall</v>
      </c>
      <c r="C861" s="107">
        <f>TRUNC('Detailed Report'!Q857,0)</f>
        <v>46050</v>
      </c>
      <c r="D861" s="108">
        <f>'Detailed Report'!P857</f>
        <v>3425266257</v>
      </c>
      <c r="E861" s="106" t="str">
        <f>'Detailed Report'!S857</f>
        <v>Successful</v>
      </c>
      <c r="F861" s="109">
        <f>IF(E861=$E$6,('Detailed Report'!Y857),IF(E861=$E$5,(0),0))</f>
        <v>250</v>
      </c>
      <c r="G861" s="106">
        <f>IF(E861=$E$6,('Detailed Report'!AQ857),IF(E861=$E$5,('Detailed Report'!AW857),0))</f>
        <v>219.29825</v>
      </c>
      <c r="H861" s="106">
        <f>'Detailed Report'!AS857</f>
        <v>54.824559999999998</v>
      </c>
      <c r="I861" s="106">
        <f>'Detailed Report'!AT857</f>
        <v>7.6754384</v>
      </c>
      <c r="J861" s="106">
        <f>'Detailed Report'!AO857</f>
        <v>4.375</v>
      </c>
      <c r="K861" s="106">
        <f>'Detailed Report'!AP857</f>
        <v>0.61250000000000004</v>
      </c>
      <c r="L861" s="106">
        <f>'Detailed Report'!AU857/1.14</f>
        <v>30.692982456140356</v>
      </c>
      <c r="M861" s="106">
        <f>'Detailed Report'!AU857-L861</f>
        <v>4.2970175438596456</v>
      </c>
      <c r="N861" s="110">
        <f>'Detailed Report'!AW857</f>
        <v>147.523</v>
      </c>
      <c r="O861" s="111">
        <f t="shared" si="59"/>
        <v>71.77525</v>
      </c>
      <c r="P861" s="110">
        <f>'Detailed Report'!AM857</f>
        <v>0</v>
      </c>
      <c r="Q861" s="110">
        <f>'Detailed Report'!AN857</f>
        <v>0</v>
      </c>
      <c r="R861" s="110">
        <f>'Detailed Report'!AU857/1.14</f>
        <v>30.692982456140356</v>
      </c>
      <c r="S861" s="110">
        <f>'Detailed Report'!AU857-'........... - Otlob'!R861</f>
        <v>4.2970175438596456</v>
      </c>
    </row>
    <row r="862" spans="1:19" x14ac:dyDescent="0.25">
      <c r="A862" s="105">
        <f>+IF(B862="","",SUBTOTAL(3,B$8:B862))</f>
        <v>855</v>
      </c>
      <c r="B862" s="106" t="str">
        <f>'Detailed Report'!O858</f>
        <v>Fuddruckers - City Stars</v>
      </c>
      <c r="C862" s="107">
        <f>TRUNC('Detailed Report'!Q858,0)</f>
        <v>46050</v>
      </c>
      <c r="D862" s="108">
        <f>'Detailed Report'!P858</f>
        <v>3425266936</v>
      </c>
      <c r="E862" s="106" t="str">
        <f>'Detailed Report'!S858</f>
        <v>Successful</v>
      </c>
      <c r="F862" s="109">
        <f>IF(E862=$E$6,('Detailed Report'!Y858),IF(E862=$E$5,(0),0))</f>
        <v>776.99</v>
      </c>
      <c r="G862" s="106">
        <f>IF(E862=$E$6,('Detailed Report'!AQ858),IF(E862=$E$5,('Detailed Report'!AW858),0))</f>
        <v>681.57018000000005</v>
      </c>
      <c r="H862" s="106">
        <f>'Detailed Report'!AS858</f>
        <v>170.39255</v>
      </c>
      <c r="I862" s="106">
        <f>'Detailed Report'!AT858</f>
        <v>23.854956999999999</v>
      </c>
      <c r="J862" s="106">
        <f>'Detailed Report'!AO858</f>
        <v>13.597325</v>
      </c>
      <c r="K862" s="106">
        <f>'Detailed Report'!AP858</f>
        <v>1.9036255</v>
      </c>
      <c r="L862" s="106">
        <f>'Detailed Report'!AU858/1.14</f>
        <v>0</v>
      </c>
      <c r="M862" s="106">
        <f>'Detailed Report'!AU858-L862</f>
        <v>0</v>
      </c>
      <c r="N862" s="110">
        <f>'Detailed Report'!AW858</f>
        <v>567.24199999999996</v>
      </c>
      <c r="O862" s="111">
        <f t="shared" si="59"/>
        <v>114.32818000000009</v>
      </c>
      <c r="P862" s="110">
        <f>'Detailed Report'!AM858</f>
        <v>0</v>
      </c>
      <c r="Q862" s="110">
        <f>'Detailed Report'!AN858</f>
        <v>0</v>
      </c>
      <c r="R862" s="110">
        <f>'Detailed Report'!AU858/1.14</f>
        <v>0</v>
      </c>
      <c r="S862" s="110">
        <f>'Detailed Report'!AU858-'........... - Otlob'!R862</f>
        <v>0</v>
      </c>
    </row>
    <row r="863" spans="1:19" x14ac:dyDescent="0.25">
      <c r="A863" s="105">
        <f>+IF(B863="","",SUBTOTAL(3,B$8:B863))</f>
        <v>856</v>
      </c>
      <c r="B863" s="106" t="str">
        <f>'Detailed Report'!O859</f>
        <v>Fuddruckers - Concord Plaza Mall</v>
      </c>
      <c r="C863" s="107">
        <f>TRUNC('Detailed Report'!Q859,0)</f>
        <v>46050</v>
      </c>
      <c r="D863" s="108">
        <f>'Detailed Report'!P859</f>
        <v>3425277354</v>
      </c>
      <c r="E863" s="106" t="str">
        <f>'Detailed Report'!S859</f>
        <v>Successful</v>
      </c>
      <c r="F863" s="109">
        <f>IF(E863=$E$6,('Detailed Report'!Y859),IF(E863=$E$5,(0),0))</f>
        <v>719.47</v>
      </c>
      <c r="G863" s="106">
        <f>IF(E863=$E$6,('Detailed Report'!AQ859),IF(E863=$E$5,('Detailed Report'!AW859),0))</f>
        <v>631.11404000000005</v>
      </c>
      <c r="H863" s="106">
        <f>'Detailed Report'!AS859</f>
        <v>157.77851000000001</v>
      </c>
      <c r="I863" s="106">
        <f>'Detailed Report'!AT859</f>
        <v>22.088991400000001</v>
      </c>
      <c r="J863" s="106">
        <f>'Detailed Report'!AO859</f>
        <v>12.590725000000001</v>
      </c>
      <c r="K863" s="106">
        <f>'Detailed Report'!AP859</f>
        <v>1.7627014999999999</v>
      </c>
      <c r="L863" s="106">
        <f>'Detailed Report'!AU859/1.14</f>
        <v>28.061403508771932</v>
      </c>
      <c r="M863" s="106">
        <f>'Detailed Report'!AU859-L863</f>
        <v>3.9285964912280669</v>
      </c>
      <c r="N863" s="110">
        <f>'Detailed Report'!AW859</f>
        <v>493.25900000000001</v>
      </c>
      <c r="O863" s="111">
        <f t="shared" si="59"/>
        <v>137.85504000000003</v>
      </c>
      <c r="P863" s="110">
        <f>'Detailed Report'!AM859</f>
        <v>0</v>
      </c>
      <c r="Q863" s="110">
        <f>'Detailed Report'!AN859</f>
        <v>0</v>
      </c>
      <c r="R863" s="110">
        <f>'Detailed Report'!AU859/1.14</f>
        <v>28.061403508771932</v>
      </c>
      <c r="S863" s="110">
        <f>'Detailed Report'!AU859-'........... - Otlob'!R863</f>
        <v>3.9285964912280669</v>
      </c>
    </row>
    <row r="864" spans="1:19" x14ac:dyDescent="0.25">
      <c r="A864" s="105">
        <f>+IF(B864="","",SUBTOTAL(3,B$8:B864))</f>
        <v>857</v>
      </c>
      <c r="B864" s="106" t="str">
        <f>'Detailed Report'!O860</f>
        <v>Fuddruckers - Concord Plaza Mall</v>
      </c>
      <c r="C864" s="107">
        <f>TRUNC('Detailed Report'!Q860,0)</f>
        <v>46050</v>
      </c>
      <c r="D864" s="108">
        <f>'Detailed Report'!P860</f>
        <v>3425305987</v>
      </c>
      <c r="E864" s="106" t="str">
        <f>'Detailed Report'!S860</f>
        <v>Successful</v>
      </c>
      <c r="F864" s="109">
        <f>IF(E864=$E$6,('Detailed Report'!Y860),IF(E864=$E$5,(0),0))</f>
        <v>1057.1500000000001</v>
      </c>
      <c r="G864" s="106">
        <f>IF(E864=$E$6,('Detailed Report'!AQ860),IF(E864=$E$5,('Detailed Report'!AW860),0))</f>
        <v>927.32456000000002</v>
      </c>
      <c r="H864" s="106">
        <f>'Detailed Report'!AS860</f>
        <v>231.83114</v>
      </c>
      <c r="I864" s="106">
        <f>'Detailed Report'!AT860</f>
        <v>32.456359599999999</v>
      </c>
      <c r="J864" s="106">
        <f>'Detailed Report'!AO860</f>
        <v>18.500125000000001</v>
      </c>
      <c r="K864" s="106">
        <f>'Detailed Report'!AP860</f>
        <v>2.5900175000000001</v>
      </c>
      <c r="L864" s="106">
        <f>'Detailed Report'!AU860/1.14</f>
        <v>0</v>
      </c>
      <c r="M864" s="106">
        <f>'Detailed Report'!AU860-L864</f>
        <v>0</v>
      </c>
      <c r="N864" s="110">
        <f>'Detailed Report'!AW860</f>
        <v>771.77200000000005</v>
      </c>
      <c r="O864" s="111">
        <f t="shared" si="59"/>
        <v>155.55255999999997</v>
      </c>
      <c r="P864" s="110">
        <f>'Detailed Report'!AM860</f>
        <v>0</v>
      </c>
      <c r="Q864" s="110">
        <f>'Detailed Report'!AN860</f>
        <v>0</v>
      </c>
      <c r="R864" s="110">
        <f>'Detailed Report'!AU860/1.14</f>
        <v>0</v>
      </c>
      <c r="S864" s="110">
        <f>'Detailed Report'!AU860-'........... - Otlob'!R864</f>
        <v>0</v>
      </c>
    </row>
    <row r="865" spans="1:19" x14ac:dyDescent="0.25">
      <c r="A865" s="105">
        <f>+IF(B865="","",SUBTOTAL(3,B$8:B865))</f>
        <v>858</v>
      </c>
      <c r="B865" s="106" t="str">
        <f>'Detailed Report'!O861</f>
        <v>Fuddruckers - City Stars</v>
      </c>
      <c r="C865" s="107">
        <f>TRUNC('Detailed Report'!Q861,0)</f>
        <v>46050</v>
      </c>
      <c r="D865" s="108">
        <f>'Detailed Report'!P861</f>
        <v>3425347471</v>
      </c>
      <c r="E865" s="106" t="str">
        <f>'Detailed Report'!S861</f>
        <v>Successful</v>
      </c>
      <c r="F865" s="109">
        <f>IF(E865=$E$6,('Detailed Report'!Y861),IF(E865=$E$5,(0),0))</f>
        <v>253.69</v>
      </c>
      <c r="G865" s="106">
        <f>IF(E865=$E$6,('Detailed Report'!AQ861),IF(E865=$E$5,('Detailed Report'!AW861),0))</f>
        <v>222.53509</v>
      </c>
      <c r="H865" s="106">
        <f>'Detailed Report'!AS861</f>
        <v>55.633769999999998</v>
      </c>
      <c r="I865" s="106">
        <f>'Detailed Report'!AT861</f>
        <v>7.7887278000000002</v>
      </c>
      <c r="J865" s="106">
        <f>'Detailed Report'!AO861</f>
        <v>4.4395749999999996</v>
      </c>
      <c r="K865" s="106">
        <f>'Detailed Report'!AP861</f>
        <v>0.62154050000000005</v>
      </c>
      <c r="L865" s="106">
        <f>'Detailed Report'!AU861/1.14</f>
        <v>23.67543859649123</v>
      </c>
      <c r="M865" s="106">
        <f>'Detailed Report'!AU861-L865</f>
        <v>3.3145614035087689</v>
      </c>
      <c r="N865" s="110">
        <f>'Detailed Report'!AW861</f>
        <v>158.21600000000001</v>
      </c>
      <c r="O865" s="111">
        <f t="shared" si="59"/>
        <v>64.319089999999989</v>
      </c>
      <c r="P865" s="110">
        <f>'Detailed Report'!AM861</f>
        <v>0</v>
      </c>
      <c r="Q865" s="110">
        <f>'Detailed Report'!AN861</f>
        <v>0</v>
      </c>
      <c r="R865" s="110">
        <f>'Detailed Report'!AU861/1.14</f>
        <v>23.67543859649123</v>
      </c>
      <c r="S865" s="110">
        <f>'Detailed Report'!AU861-'........... - Otlob'!R865</f>
        <v>3.3145614035087689</v>
      </c>
    </row>
    <row r="866" spans="1:19" x14ac:dyDescent="0.25">
      <c r="A866" s="105">
        <f>+IF(B866="","",SUBTOTAL(3,B$8:B866))</f>
        <v>859</v>
      </c>
      <c r="B866" s="106" t="str">
        <f>'Detailed Report'!O862</f>
        <v>Fuddruckers - New Maadi</v>
      </c>
      <c r="C866" s="107">
        <f>TRUNC('Detailed Report'!Q862,0)</f>
        <v>46050</v>
      </c>
      <c r="D866" s="108">
        <f>'Detailed Report'!P862</f>
        <v>3425417202</v>
      </c>
      <c r="E866" s="106" t="str">
        <f>'Detailed Report'!S862</f>
        <v>Successful</v>
      </c>
      <c r="F866" s="109">
        <f>IF(E866=$E$6,('Detailed Report'!Y862),IF(E866=$E$5,(0),0))</f>
        <v>651.32000000000005</v>
      </c>
      <c r="G866" s="106">
        <f>IF(E866=$E$6,('Detailed Report'!AQ862),IF(E866=$E$5,('Detailed Report'!AW862),0))</f>
        <v>571.33333000000005</v>
      </c>
      <c r="H866" s="106">
        <f>'Detailed Report'!AS862</f>
        <v>142.83332999999999</v>
      </c>
      <c r="I866" s="106">
        <f>'Detailed Report'!AT862</f>
        <v>19.9966662</v>
      </c>
      <c r="J866" s="106">
        <f>'Detailed Report'!AO862</f>
        <v>11.398099999999999</v>
      </c>
      <c r="K866" s="106">
        <f>'Detailed Report'!AP862</f>
        <v>1.595734</v>
      </c>
      <c r="L866" s="106">
        <f>'Detailed Report'!AU862/1.14</f>
        <v>26.307017543859651</v>
      </c>
      <c r="M866" s="106">
        <f>'Detailed Report'!AU862-L866</f>
        <v>3.6829824561403477</v>
      </c>
      <c r="N866" s="110">
        <f>'Detailed Report'!AW862</f>
        <v>445.50599999999997</v>
      </c>
      <c r="O866" s="111">
        <f t="shared" si="59"/>
        <v>125.82733000000007</v>
      </c>
      <c r="P866" s="110">
        <f>'Detailed Report'!AM862</f>
        <v>0</v>
      </c>
      <c r="Q866" s="110">
        <f>'Detailed Report'!AN862</f>
        <v>0</v>
      </c>
      <c r="R866" s="110">
        <f>'Detailed Report'!AU862/1.14</f>
        <v>26.307017543859651</v>
      </c>
      <c r="S866" s="110">
        <f>'Detailed Report'!AU862-'........... - Otlob'!R866</f>
        <v>3.6829824561403477</v>
      </c>
    </row>
    <row r="867" spans="1:19" x14ac:dyDescent="0.25">
      <c r="A867" s="105">
        <f>+IF(B867="","",SUBTOTAL(3,B$8:B867))</f>
        <v>860</v>
      </c>
      <c r="B867" s="106" t="str">
        <f>'Detailed Report'!O863</f>
        <v>Fuddruckers - Concord Plaza Mall</v>
      </c>
      <c r="C867" s="107">
        <f>TRUNC('Detailed Report'!Q863,0)</f>
        <v>46050</v>
      </c>
      <c r="D867" s="108">
        <f>'Detailed Report'!P863</f>
        <v>3425473130</v>
      </c>
      <c r="E867" s="106" t="str">
        <f>'Detailed Report'!S863</f>
        <v>Successful</v>
      </c>
      <c r="F867" s="109">
        <f>IF(E867=$E$6,('Detailed Report'!Y863),IF(E867=$E$5,(0),0))</f>
        <v>880.92</v>
      </c>
      <c r="G867" s="106">
        <f>IF(E867=$E$6,('Detailed Report'!AQ863),IF(E867=$E$5,('Detailed Report'!AW863),0))</f>
        <v>772.73684000000003</v>
      </c>
      <c r="H867" s="106">
        <f>'Detailed Report'!AS863</f>
        <v>193.18421000000001</v>
      </c>
      <c r="I867" s="106">
        <f>'Detailed Report'!AT863</f>
        <v>27.0457894</v>
      </c>
      <c r="J867" s="106">
        <f>'Detailed Report'!AO863</f>
        <v>15.4161</v>
      </c>
      <c r="K867" s="106">
        <f>'Detailed Report'!AP863</f>
        <v>2.1582539999999999</v>
      </c>
      <c r="L867" s="106">
        <f>'Detailed Report'!AU863/1.14</f>
        <v>29.815789473684216</v>
      </c>
      <c r="M867" s="106">
        <f>'Detailed Report'!AU863-L867</f>
        <v>4.174210526315786</v>
      </c>
      <c r="N867" s="110">
        <f>'Detailed Report'!AW863</f>
        <v>609.12599999999998</v>
      </c>
      <c r="O867" s="111">
        <f t="shared" si="59"/>
        <v>163.61084000000005</v>
      </c>
      <c r="P867" s="110">
        <f>'Detailed Report'!AM863</f>
        <v>0</v>
      </c>
      <c r="Q867" s="110">
        <f>'Detailed Report'!AN863</f>
        <v>0</v>
      </c>
      <c r="R867" s="110">
        <f>'Detailed Report'!AU863/1.14</f>
        <v>29.815789473684216</v>
      </c>
      <c r="S867" s="110">
        <f>'Detailed Report'!AU863-'........... - Otlob'!R867</f>
        <v>4.174210526315786</v>
      </c>
    </row>
    <row r="868" spans="1:19" x14ac:dyDescent="0.25">
      <c r="A868" s="105">
        <f>+IF(B868="","",SUBTOTAL(3,B$8:B868))</f>
        <v>861</v>
      </c>
      <c r="B868" s="106" t="str">
        <f>'Detailed Report'!O864</f>
        <v>Fuddruckers - Concord Plaza Mall</v>
      </c>
      <c r="C868" s="107">
        <f>TRUNC('Detailed Report'!Q864,0)</f>
        <v>46050</v>
      </c>
      <c r="D868" s="108">
        <f>'Detailed Report'!P864</f>
        <v>3425479473</v>
      </c>
      <c r="E868" s="106" t="str">
        <f>'Detailed Report'!S864</f>
        <v>Successful</v>
      </c>
      <c r="F868" s="109">
        <f>IF(E868=$E$6,('Detailed Report'!Y864),IF(E868=$E$5,(0),0))</f>
        <v>844</v>
      </c>
      <c r="G868" s="106">
        <f>IF(E868=$E$6,('Detailed Report'!AQ864),IF(E868=$E$5,('Detailed Report'!AW864),0))</f>
        <v>740.35087999999996</v>
      </c>
      <c r="H868" s="106">
        <f>'Detailed Report'!AS864</f>
        <v>185.08771999999999</v>
      </c>
      <c r="I868" s="106">
        <f>'Detailed Report'!AT864</f>
        <v>25.912280800000001</v>
      </c>
      <c r="J868" s="106">
        <f>'Detailed Report'!AO864</f>
        <v>14.77</v>
      </c>
      <c r="K868" s="106">
        <f>'Detailed Report'!AP864</f>
        <v>2.0678000000000001</v>
      </c>
      <c r="L868" s="106">
        <f>'Detailed Report'!AU864/1.14</f>
        <v>28.938596491228076</v>
      </c>
      <c r="M868" s="106">
        <f>'Detailed Report'!AU864-L868</f>
        <v>4.0514035087719265</v>
      </c>
      <c r="N868" s="110">
        <f>'Detailed Report'!AW864</f>
        <v>583.17200000000003</v>
      </c>
      <c r="O868" s="111">
        <f t="shared" si="59"/>
        <v>157.17887999999994</v>
      </c>
      <c r="P868" s="110">
        <f>'Detailed Report'!AM864</f>
        <v>0</v>
      </c>
      <c r="Q868" s="110">
        <f>'Detailed Report'!AN864</f>
        <v>0</v>
      </c>
      <c r="R868" s="110">
        <f>'Detailed Report'!AU864/1.14</f>
        <v>28.938596491228076</v>
      </c>
      <c r="S868" s="110">
        <f>'Detailed Report'!AU864-'........... - Otlob'!R868</f>
        <v>4.0514035087719265</v>
      </c>
    </row>
    <row r="869" spans="1:19" x14ac:dyDescent="0.25">
      <c r="A869" s="105">
        <f>+IF(B869="","",SUBTOTAL(3,B$8:B869))</f>
        <v>862</v>
      </c>
      <c r="B869" s="106" t="str">
        <f>'Detailed Report'!O865</f>
        <v>Fuddruckers - Concord Plaza Mall</v>
      </c>
      <c r="C869" s="107">
        <f>TRUNC('Detailed Report'!Q865,0)</f>
        <v>46051</v>
      </c>
      <c r="D869" s="108">
        <f>'Detailed Report'!P865</f>
        <v>3426161415</v>
      </c>
      <c r="E869" s="106" t="str">
        <f>'Detailed Report'!S865</f>
        <v>Successful</v>
      </c>
      <c r="F869" s="109">
        <f>IF(E869=$E$6,('Detailed Report'!Y865),IF(E869=$E$5,(0),0))</f>
        <v>1208</v>
      </c>
      <c r="G869" s="106">
        <f>IF(E869=$E$6,('Detailed Report'!AQ865),IF(E869=$E$5,('Detailed Report'!AW865),0))</f>
        <v>1059.64912</v>
      </c>
      <c r="H869" s="106">
        <f>'Detailed Report'!AS865</f>
        <v>264.91228000000001</v>
      </c>
      <c r="I869" s="106">
        <f>'Detailed Report'!AT865</f>
        <v>37.087719200000002</v>
      </c>
      <c r="J869" s="106">
        <f>'Detailed Report'!AO865</f>
        <v>21.14</v>
      </c>
      <c r="K869" s="106">
        <f>'Detailed Report'!AP865</f>
        <v>2.9596</v>
      </c>
      <c r="L869" s="106">
        <f>'Detailed Report'!AU865/1.14</f>
        <v>32.447368421052637</v>
      </c>
      <c r="M869" s="106">
        <f>'Detailed Report'!AU865-L869</f>
        <v>4.5426315789473648</v>
      </c>
      <c r="N869" s="110">
        <f>'Detailed Report'!AW865</f>
        <v>810.71</v>
      </c>
      <c r="O869" s="111">
        <f t="shared" si="59"/>
        <v>248.93912</v>
      </c>
      <c r="P869" s="110">
        <f>'Detailed Report'!AM865</f>
        <v>30</v>
      </c>
      <c r="Q869" s="110">
        <f>'Detailed Report'!AN865</f>
        <v>4.2</v>
      </c>
      <c r="R869" s="110">
        <f>'Detailed Report'!AU865/1.14</f>
        <v>32.447368421052637</v>
      </c>
      <c r="S869" s="110">
        <f>'Detailed Report'!AU865-'........... - Otlob'!R869</f>
        <v>4.5426315789473648</v>
      </c>
    </row>
    <row r="870" spans="1:19" x14ac:dyDescent="0.25">
      <c r="A870" s="105">
        <f>+IF(B870="","",SUBTOTAL(3,B$8:B870))</f>
        <v>863</v>
      </c>
      <c r="B870" s="106" t="str">
        <f>'Detailed Report'!O866</f>
        <v>Fuddruckers - City Stars</v>
      </c>
      <c r="C870" s="107">
        <f>TRUNC('Detailed Report'!Q866,0)</f>
        <v>46051</v>
      </c>
      <c r="D870" s="108">
        <f>'Detailed Report'!P866</f>
        <v>3426163148</v>
      </c>
      <c r="E870" s="106" t="str">
        <f>'Detailed Report'!S866</f>
        <v>Successful</v>
      </c>
      <c r="F870" s="109">
        <f>IF(E870=$E$6,('Detailed Report'!Y866),IF(E870=$E$5,(0),0))</f>
        <v>118</v>
      </c>
      <c r="G870" s="106">
        <f>IF(E870=$E$6,('Detailed Report'!AQ866),IF(E870=$E$5,('Detailed Report'!AW866),0))</f>
        <v>103.50877</v>
      </c>
      <c r="H870" s="106">
        <f>'Detailed Report'!AS866</f>
        <v>25.877189999999999</v>
      </c>
      <c r="I870" s="106">
        <f>'Detailed Report'!AT866</f>
        <v>3.6228066000000001</v>
      </c>
      <c r="J870" s="106">
        <f>'Detailed Report'!AO866</f>
        <v>2.0649999999999999</v>
      </c>
      <c r="K870" s="106">
        <f>'Detailed Report'!AP866</f>
        <v>0.28910000000000002</v>
      </c>
      <c r="L870" s="106">
        <f>'Detailed Report'!AU866/1.14</f>
        <v>0</v>
      </c>
      <c r="M870" s="106">
        <f>'Detailed Report'!AU866-L870</f>
        <v>0</v>
      </c>
      <c r="N870" s="110">
        <f>'Detailed Report'!AW866</f>
        <v>86.146000000000001</v>
      </c>
      <c r="O870" s="111">
        <f t="shared" si="59"/>
        <v>17.362769999999998</v>
      </c>
      <c r="P870" s="110">
        <f>'Detailed Report'!AM866</f>
        <v>0</v>
      </c>
      <c r="Q870" s="110">
        <f>'Detailed Report'!AN866</f>
        <v>0</v>
      </c>
      <c r="R870" s="110">
        <f>'Detailed Report'!AU866/1.14</f>
        <v>0</v>
      </c>
      <c r="S870" s="110">
        <f>'Detailed Report'!AU866-'........... - Otlob'!R870</f>
        <v>0</v>
      </c>
    </row>
    <row r="871" spans="1:19" x14ac:dyDescent="0.25">
      <c r="A871" s="105">
        <f>+IF(B871="","",SUBTOTAL(3,B$8:B871))</f>
        <v>864</v>
      </c>
      <c r="B871" s="106" t="str">
        <f>'Detailed Report'!O867</f>
        <v>Fuddruckers - New Maadi</v>
      </c>
      <c r="C871" s="107">
        <f>TRUNC('Detailed Report'!Q867,0)</f>
        <v>46051</v>
      </c>
      <c r="D871" s="108">
        <f>'Detailed Report'!P867</f>
        <v>3426169505</v>
      </c>
      <c r="E871" s="106" t="str">
        <f>'Detailed Report'!S867</f>
        <v>Successful</v>
      </c>
      <c r="F871" s="109">
        <f>IF(E871=$E$6,('Detailed Report'!Y867),IF(E871=$E$5,(0),0))</f>
        <v>249.99</v>
      </c>
      <c r="G871" s="106">
        <f>IF(E871=$E$6,('Detailed Report'!AQ867),IF(E871=$E$5,('Detailed Report'!AW867),0))</f>
        <v>219.28946999999999</v>
      </c>
      <c r="H871" s="106">
        <f>'Detailed Report'!AS867</f>
        <v>54.822369999999999</v>
      </c>
      <c r="I871" s="106">
        <f>'Detailed Report'!AT867</f>
        <v>7.6751317999999999</v>
      </c>
      <c r="J871" s="106">
        <f>'Detailed Report'!AO867</f>
        <v>4.3748250000000004</v>
      </c>
      <c r="K871" s="106">
        <f>'Detailed Report'!AP867</f>
        <v>0.61247549999999995</v>
      </c>
      <c r="L871" s="106">
        <f>'Detailed Report'!AU867/1.14</f>
        <v>0</v>
      </c>
      <c r="M871" s="106">
        <f>'Detailed Report'!AU867-L871</f>
        <v>0</v>
      </c>
      <c r="N871" s="110">
        <f>'Detailed Report'!AW867</f>
        <v>182.505</v>
      </c>
      <c r="O871" s="111">
        <f t="shared" si="59"/>
        <v>36.784469999999999</v>
      </c>
      <c r="P871" s="110">
        <f>'Detailed Report'!AM867</f>
        <v>0</v>
      </c>
      <c r="Q871" s="110">
        <f>'Detailed Report'!AN867</f>
        <v>0</v>
      </c>
      <c r="R871" s="110">
        <f>'Detailed Report'!AU867/1.14</f>
        <v>0</v>
      </c>
      <c r="S871" s="110">
        <f>'Detailed Report'!AU867-'........... - Otlob'!R871</f>
        <v>0</v>
      </c>
    </row>
    <row r="872" spans="1:19" x14ac:dyDescent="0.25">
      <c r="A872" s="105">
        <f>+IF(B872="","",SUBTOTAL(3,B$8:B872))</f>
        <v>865</v>
      </c>
      <c r="B872" s="106" t="str">
        <f>'Detailed Report'!O868</f>
        <v>Fuddruckers - City Stars</v>
      </c>
      <c r="C872" s="107">
        <f>TRUNC('Detailed Report'!Q868,0)</f>
        <v>46051</v>
      </c>
      <c r="D872" s="108">
        <f>'Detailed Report'!P868</f>
        <v>3426287979</v>
      </c>
      <c r="E872" s="106" t="str">
        <f>'Detailed Report'!S868</f>
        <v>Successful</v>
      </c>
      <c r="F872" s="109">
        <f>IF(E872=$E$6,('Detailed Report'!Y868),IF(E872=$E$5,(0),0))</f>
        <v>328.83</v>
      </c>
      <c r="G872" s="106">
        <f>IF(E872=$E$6,('Detailed Report'!AQ868),IF(E872=$E$5,('Detailed Report'!AW868),0))</f>
        <v>288.44736999999998</v>
      </c>
      <c r="H872" s="106">
        <f>'Detailed Report'!AS868</f>
        <v>72.111840000000001</v>
      </c>
      <c r="I872" s="106">
        <f>'Detailed Report'!AT868</f>
        <v>10.095657599999999</v>
      </c>
      <c r="J872" s="106">
        <f>'Detailed Report'!AO868</f>
        <v>5.7545250000000001</v>
      </c>
      <c r="K872" s="106">
        <f>'Detailed Report'!AP868</f>
        <v>0.8056335</v>
      </c>
      <c r="L872" s="106">
        <f>'Detailed Report'!AU868/1.14</f>
        <v>0</v>
      </c>
      <c r="M872" s="106">
        <f>'Detailed Report'!AU868-L872</f>
        <v>0</v>
      </c>
      <c r="N872" s="110">
        <f>'Detailed Report'!AW868</f>
        <v>205.86199999999999</v>
      </c>
      <c r="O872" s="111">
        <f t="shared" si="59"/>
        <v>82.585369999999983</v>
      </c>
      <c r="P872" s="110">
        <f>'Detailed Report'!AM868</f>
        <v>30</v>
      </c>
      <c r="Q872" s="110">
        <f>'Detailed Report'!AN868</f>
        <v>4.2</v>
      </c>
      <c r="R872" s="110">
        <f>'Detailed Report'!AU868/1.14</f>
        <v>0</v>
      </c>
      <c r="S872" s="110">
        <f>'Detailed Report'!AU868-'........... - Otlob'!R872</f>
        <v>0</v>
      </c>
    </row>
    <row r="873" spans="1:19" x14ac:dyDescent="0.25">
      <c r="A873" s="105">
        <f>+IF(B873="","",SUBTOTAL(3,B$8:B873))</f>
        <v>866</v>
      </c>
      <c r="B873" s="106" t="str">
        <f>'Detailed Report'!O869</f>
        <v>Fuddruckers - Concord Plaza Mall</v>
      </c>
      <c r="C873" s="107">
        <f>TRUNC('Detailed Report'!Q869,0)</f>
        <v>46051</v>
      </c>
      <c r="D873" s="108">
        <f>'Detailed Report'!P869</f>
        <v>3426288312</v>
      </c>
      <c r="E873" s="106" t="str">
        <f>'Detailed Report'!S869</f>
        <v>Successful</v>
      </c>
      <c r="F873" s="109">
        <f>IF(E873=$E$6,('Detailed Report'!Y869),IF(E873=$E$5,(0),0))</f>
        <v>353.99</v>
      </c>
      <c r="G873" s="106">
        <f>IF(E873=$E$6,('Detailed Report'!AQ869),IF(E873=$E$5,('Detailed Report'!AW869),0))</f>
        <v>310.51754</v>
      </c>
      <c r="H873" s="106">
        <f>'Detailed Report'!AS869</f>
        <v>77.629390000000001</v>
      </c>
      <c r="I873" s="106">
        <f>'Detailed Report'!AT869</f>
        <v>10.8681146</v>
      </c>
      <c r="J873" s="106">
        <f>'Detailed Report'!AO869</f>
        <v>6.1948249999999998</v>
      </c>
      <c r="K873" s="106">
        <f>'Detailed Report'!AP869</f>
        <v>0.86727549999999998</v>
      </c>
      <c r="L873" s="106">
        <f>'Detailed Report'!AU869/1.14</f>
        <v>0</v>
      </c>
      <c r="M873" s="106">
        <f>'Detailed Report'!AU869-L873</f>
        <v>0</v>
      </c>
      <c r="N873" s="110">
        <f>'Detailed Report'!AW869</f>
        <v>258.43</v>
      </c>
      <c r="O873" s="111">
        <f t="shared" si="59"/>
        <v>52.08753999999999</v>
      </c>
      <c r="P873" s="110">
        <f>'Detailed Report'!AM869</f>
        <v>0</v>
      </c>
      <c r="Q873" s="110">
        <f>'Detailed Report'!AN869</f>
        <v>0</v>
      </c>
      <c r="R873" s="110">
        <f>'Detailed Report'!AU869/1.14</f>
        <v>0</v>
      </c>
      <c r="S873" s="110">
        <f>'Detailed Report'!AU869-'........... - Otlob'!R873</f>
        <v>0</v>
      </c>
    </row>
    <row r="874" spans="1:19" x14ac:dyDescent="0.25">
      <c r="A874" s="105">
        <f>+IF(B874="","",SUBTOTAL(3,B$8:B874))</f>
        <v>867</v>
      </c>
      <c r="B874" s="106" t="str">
        <f>'Detailed Report'!O870</f>
        <v>Fuddruckers - New Maadi</v>
      </c>
      <c r="C874" s="107">
        <f>TRUNC('Detailed Report'!Q870,0)</f>
        <v>46051</v>
      </c>
      <c r="D874" s="108">
        <f>'Detailed Report'!P870</f>
        <v>3426367295</v>
      </c>
      <c r="E874" s="106" t="str">
        <f>'Detailed Report'!S870</f>
        <v>Successful</v>
      </c>
      <c r="F874" s="109">
        <f>IF(E874=$E$6,('Detailed Report'!Y870),IF(E874=$E$5,(0),0))</f>
        <v>239.99</v>
      </c>
      <c r="G874" s="106">
        <f>IF(E874=$E$6,('Detailed Report'!AQ870),IF(E874=$E$5,('Detailed Report'!AW870),0))</f>
        <v>210.51754</v>
      </c>
      <c r="H874" s="106">
        <f>'Detailed Report'!AS870</f>
        <v>52.629390000000001</v>
      </c>
      <c r="I874" s="106">
        <f>'Detailed Report'!AT870</f>
        <v>7.3681146000000002</v>
      </c>
      <c r="J874" s="106">
        <f>'Detailed Report'!AO870</f>
        <v>0</v>
      </c>
      <c r="K874" s="106">
        <f>'Detailed Report'!AP870</f>
        <v>0</v>
      </c>
      <c r="L874" s="106">
        <f>'Detailed Report'!AU870/1.14</f>
        <v>0</v>
      </c>
      <c r="M874" s="106">
        <f>'Detailed Report'!AU870-L874</f>
        <v>0</v>
      </c>
      <c r="N874" s="110">
        <f>'Detailed Report'!AW870</f>
        <v>179.99199999999999</v>
      </c>
      <c r="O874" s="111">
        <f t="shared" si="59"/>
        <v>30.525540000000007</v>
      </c>
      <c r="P874" s="110">
        <f>'Detailed Report'!AM870</f>
        <v>0</v>
      </c>
      <c r="Q874" s="110">
        <f>'Detailed Report'!AN870</f>
        <v>0</v>
      </c>
      <c r="R874" s="110">
        <f>'Detailed Report'!AU870/1.14</f>
        <v>0</v>
      </c>
      <c r="S874" s="110">
        <f>'Detailed Report'!AU870-'........... - Otlob'!R874</f>
        <v>0</v>
      </c>
    </row>
    <row r="875" spans="1:19" x14ac:dyDescent="0.25">
      <c r="A875" s="105">
        <f>+IF(B875="","",SUBTOTAL(3,B$8:B875))</f>
        <v>868</v>
      </c>
      <c r="B875" s="106" t="str">
        <f>'Detailed Report'!O871</f>
        <v>Fuddruckers - New Maadi</v>
      </c>
      <c r="C875" s="107">
        <f>TRUNC('Detailed Report'!Q871,0)</f>
        <v>46051</v>
      </c>
      <c r="D875" s="108">
        <f>'Detailed Report'!P871</f>
        <v>3426376986</v>
      </c>
      <c r="E875" s="106" t="str">
        <f>'Detailed Report'!S871</f>
        <v>Successful</v>
      </c>
      <c r="F875" s="109">
        <f>IF(E875=$E$6,('Detailed Report'!Y871),IF(E875=$E$5,(0),0))</f>
        <v>866.99</v>
      </c>
      <c r="G875" s="106">
        <f>IF(E875=$E$6,('Detailed Report'!AQ871),IF(E875=$E$5,('Detailed Report'!AW871),0))</f>
        <v>760.51754000000005</v>
      </c>
      <c r="H875" s="106">
        <f>'Detailed Report'!AS871</f>
        <v>190.12939</v>
      </c>
      <c r="I875" s="106">
        <f>'Detailed Report'!AT871</f>
        <v>26.618114599999998</v>
      </c>
      <c r="J875" s="106">
        <f>'Detailed Report'!AO871</f>
        <v>15.172325000000001</v>
      </c>
      <c r="K875" s="106">
        <f>'Detailed Report'!AP871</f>
        <v>2.1241254999999999</v>
      </c>
      <c r="L875" s="106">
        <f>'Detailed Report'!AU871/1.14</f>
        <v>25.42982456140351</v>
      </c>
      <c r="M875" s="106">
        <f>'Detailed Report'!AU871-L875</f>
        <v>3.5601754385964881</v>
      </c>
      <c r="N875" s="110">
        <f>'Detailed Report'!AW871</f>
        <v>603.95600000000002</v>
      </c>
      <c r="O875" s="111">
        <f t="shared" si="59"/>
        <v>156.56154000000004</v>
      </c>
      <c r="P875" s="110">
        <f>'Detailed Report'!AM871</f>
        <v>0</v>
      </c>
      <c r="Q875" s="110">
        <f>'Detailed Report'!AN871</f>
        <v>0</v>
      </c>
      <c r="R875" s="110">
        <f>'Detailed Report'!AU871/1.14</f>
        <v>25.42982456140351</v>
      </c>
      <c r="S875" s="110">
        <f>'Detailed Report'!AU871-'........... - Otlob'!R875</f>
        <v>3.5601754385964881</v>
      </c>
    </row>
    <row r="876" spans="1:19" x14ac:dyDescent="0.25">
      <c r="A876" s="105">
        <f>+IF(B876="","",SUBTOTAL(3,B$8:B876))</f>
        <v>869</v>
      </c>
      <c r="B876" s="106" t="str">
        <f>'Detailed Report'!O872</f>
        <v>Fuddruckers - Concord Plaza Mall</v>
      </c>
      <c r="C876" s="107">
        <f>TRUNC('Detailed Report'!Q872,0)</f>
        <v>46051</v>
      </c>
      <c r="D876" s="108">
        <f>'Detailed Report'!P872</f>
        <v>3426401356</v>
      </c>
      <c r="E876" s="106" t="str">
        <f>'Detailed Report'!S872</f>
        <v>Successful</v>
      </c>
      <c r="F876" s="109">
        <f>IF(E876=$E$6,('Detailed Report'!Y872),IF(E876=$E$5,(0),0))</f>
        <v>1778.64</v>
      </c>
      <c r="G876" s="106">
        <f>IF(E876=$E$6,('Detailed Report'!AQ872),IF(E876=$E$5,('Detailed Report'!AW872),0))</f>
        <v>1560.2105300000001</v>
      </c>
      <c r="H876" s="106">
        <f>'Detailed Report'!AS872</f>
        <v>390.05263000000002</v>
      </c>
      <c r="I876" s="106">
        <f>'Detailed Report'!AT872</f>
        <v>54.607368200000003</v>
      </c>
      <c r="J876" s="106">
        <f>'Detailed Report'!AO872</f>
        <v>31.126200000000001</v>
      </c>
      <c r="K876" s="106">
        <f>'Detailed Report'!AP872</f>
        <v>4.3576680000000003</v>
      </c>
      <c r="L876" s="106">
        <f>'Detailed Report'!AU872/1.14</f>
        <v>0</v>
      </c>
      <c r="M876" s="106">
        <f>'Detailed Report'!AU872-L876</f>
        <v>0</v>
      </c>
      <c r="N876" s="110">
        <f>'Detailed Report'!AW872</f>
        <v>1264.296</v>
      </c>
      <c r="O876" s="111">
        <f t="shared" si="59"/>
        <v>295.91453000000001</v>
      </c>
      <c r="P876" s="110">
        <f>'Detailed Report'!AM872</f>
        <v>30</v>
      </c>
      <c r="Q876" s="110">
        <f>'Detailed Report'!AN872</f>
        <v>4.2</v>
      </c>
      <c r="R876" s="110">
        <f>'Detailed Report'!AU872/1.14</f>
        <v>0</v>
      </c>
      <c r="S876" s="110">
        <f>'Detailed Report'!AU872-'........... - Otlob'!R876</f>
        <v>0</v>
      </c>
    </row>
    <row r="877" spans="1:19" x14ac:dyDescent="0.25">
      <c r="A877" s="105">
        <f>+IF(B877="","",SUBTOTAL(3,B$8:B877))</f>
        <v>870</v>
      </c>
      <c r="B877" s="106" t="str">
        <f>'Detailed Report'!O873</f>
        <v>Fuddruckers - Concord Plaza Mall</v>
      </c>
      <c r="C877" s="107">
        <f>TRUNC('Detailed Report'!Q873,0)</f>
        <v>46051</v>
      </c>
      <c r="D877" s="108">
        <f>'Detailed Report'!P873</f>
        <v>3426426414</v>
      </c>
      <c r="E877" s="106" t="str">
        <f>'Detailed Report'!S873</f>
        <v>Successful</v>
      </c>
      <c r="F877" s="109">
        <f>IF(E877=$E$6,('Detailed Report'!Y873),IF(E877=$E$5,(0),0))</f>
        <v>767.99</v>
      </c>
      <c r="G877" s="106">
        <f>IF(E877=$E$6,('Detailed Report'!AQ873),IF(E877=$E$5,('Detailed Report'!AW873),0))</f>
        <v>673.67543999999998</v>
      </c>
      <c r="H877" s="106">
        <f>'Detailed Report'!AS873</f>
        <v>168.41886</v>
      </c>
      <c r="I877" s="106">
        <f>'Detailed Report'!AT873</f>
        <v>23.578640400000001</v>
      </c>
      <c r="J877" s="106">
        <f>'Detailed Report'!AO873</f>
        <v>0</v>
      </c>
      <c r="K877" s="106">
        <f>'Detailed Report'!AP873</f>
        <v>0</v>
      </c>
      <c r="L877" s="106">
        <f>'Detailed Report'!AU873/1.14</f>
        <v>0</v>
      </c>
      <c r="M877" s="106">
        <f>'Detailed Report'!AU873-L877</f>
        <v>0</v>
      </c>
      <c r="N877" s="110">
        <f>'Detailed Report'!AW873</f>
        <v>575.99199999999996</v>
      </c>
      <c r="O877" s="111">
        <f t="shared" si="59"/>
        <v>97.683440000000019</v>
      </c>
      <c r="P877" s="110">
        <f>'Detailed Report'!AM873</f>
        <v>0</v>
      </c>
      <c r="Q877" s="110">
        <f>'Detailed Report'!AN873</f>
        <v>0</v>
      </c>
      <c r="R877" s="110">
        <f>'Detailed Report'!AU873/1.14</f>
        <v>0</v>
      </c>
      <c r="S877" s="110">
        <f>'Detailed Report'!AU873-'........... - Otlob'!R877</f>
        <v>0</v>
      </c>
    </row>
    <row r="878" spans="1:19" x14ac:dyDescent="0.25">
      <c r="A878" s="105">
        <f>+IF(B878="","",SUBTOTAL(3,B$8:B878))</f>
        <v>871</v>
      </c>
      <c r="B878" s="106" t="str">
        <f>'Detailed Report'!O874</f>
        <v>Fuddruckers - Concord Plaza Mall</v>
      </c>
      <c r="C878" s="107">
        <f>TRUNC('Detailed Report'!Q874,0)</f>
        <v>46051</v>
      </c>
      <c r="D878" s="108">
        <f>'Detailed Report'!P874</f>
        <v>3426435122</v>
      </c>
      <c r="E878" s="106" t="str">
        <f>'Detailed Report'!S874</f>
        <v>Successful</v>
      </c>
      <c r="F878" s="109">
        <f>IF(E878=$E$6,('Detailed Report'!Y874),IF(E878=$E$5,(0),0))</f>
        <v>807.98</v>
      </c>
      <c r="G878" s="106">
        <f>IF(E878=$E$6,('Detailed Report'!AQ874),IF(E878=$E$5,('Detailed Report'!AW874),0))</f>
        <v>708.75438999999994</v>
      </c>
      <c r="H878" s="106">
        <f>'Detailed Report'!AS874</f>
        <v>177.18860000000001</v>
      </c>
      <c r="I878" s="106">
        <f>'Detailed Report'!AT874</f>
        <v>24.806404000000001</v>
      </c>
      <c r="J878" s="106">
        <f>'Detailed Report'!AO874</f>
        <v>14.13965</v>
      </c>
      <c r="K878" s="106">
        <f>'Detailed Report'!AP874</f>
        <v>1.9795510000000001</v>
      </c>
      <c r="L878" s="106">
        <f>'Detailed Report'!AU874/1.14</f>
        <v>28.938596491228076</v>
      </c>
      <c r="M878" s="106">
        <f>'Detailed Report'!AU874-L878</f>
        <v>4.0514035087719265</v>
      </c>
      <c r="N878" s="110">
        <f>'Detailed Report'!AW874</f>
        <v>556.87599999999998</v>
      </c>
      <c r="O878" s="111">
        <f t="shared" si="59"/>
        <v>151.87838999999997</v>
      </c>
      <c r="P878" s="110">
        <f>'Detailed Report'!AM874</f>
        <v>0</v>
      </c>
      <c r="Q878" s="110">
        <f>'Detailed Report'!AN874</f>
        <v>0</v>
      </c>
      <c r="R878" s="110">
        <f>'Detailed Report'!AU874/1.14</f>
        <v>28.938596491228076</v>
      </c>
      <c r="S878" s="110">
        <f>'Detailed Report'!AU874-'........... - Otlob'!R878</f>
        <v>4.0514035087719265</v>
      </c>
    </row>
    <row r="879" spans="1:19" x14ac:dyDescent="0.25">
      <c r="A879" s="105">
        <f>+IF(B879="","",SUBTOTAL(3,B$8:B879))</f>
        <v>872</v>
      </c>
      <c r="B879" s="106" t="str">
        <f>'Detailed Report'!O875</f>
        <v>Fuddruckers - Concord Plaza Mall</v>
      </c>
      <c r="C879" s="107">
        <f>TRUNC('Detailed Report'!Q875,0)</f>
        <v>46051</v>
      </c>
      <c r="D879" s="108">
        <f>'Detailed Report'!P875</f>
        <v>3426453190</v>
      </c>
      <c r="E879" s="106" t="str">
        <f>'Detailed Report'!S875</f>
        <v>Successful</v>
      </c>
      <c r="F879" s="109">
        <f>IF(E879=$E$6,('Detailed Report'!Y875),IF(E879=$E$5,(0),0))</f>
        <v>453.99</v>
      </c>
      <c r="G879" s="106">
        <f>IF(E879=$E$6,('Detailed Report'!AQ875),IF(E879=$E$5,('Detailed Report'!AW875),0))</f>
        <v>398.23683999999997</v>
      </c>
      <c r="H879" s="106">
        <f>'Detailed Report'!AS875</f>
        <v>99.559209999999993</v>
      </c>
      <c r="I879" s="106">
        <f>'Detailed Report'!AT875</f>
        <v>13.9382894</v>
      </c>
      <c r="J879" s="106">
        <f>'Detailed Report'!AO875</f>
        <v>7.9448249999999998</v>
      </c>
      <c r="K879" s="106">
        <f>'Detailed Report'!AP875</f>
        <v>1.1122755</v>
      </c>
      <c r="L879" s="106">
        <f>'Detailed Report'!AU875/1.14</f>
        <v>28.061403508771932</v>
      </c>
      <c r="M879" s="106">
        <f>'Detailed Report'!AU875-L879</f>
        <v>3.9285964912280669</v>
      </c>
      <c r="N879" s="110">
        <f>'Detailed Report'!AW875</f>
        <v>299.44499999999999</v>
      </c>
      <c r="O879" s="111">
        <f t="shared" si="59"/>
        <v>98.791839999999979</v>
      </c>
      <c r="P879" s="110">
        <f>'Detailed Report'!AM875</f>
        <v>0</v>
      </c>
      <c r="Q879" s="110">
        <f>'Detailed Report'!AN875</f>
        <v>0</v>
      </c>
      <c r="R879" s="110">
        <f>'Detailed Report'!AU875/1.14</f>
        <v>28.061403508771932</v>
      </c>
      <c r="S879" s="110">
        <f>'Detailed Report'!AU875-'........... - Otlob'!R879</f>
        <v>3.9285964912280669</v>
      </c>
    </row>
    <row r="880" spans="1:19" x14ac:dyDescent="0.25">
      <c r="A880" s="105">
        <f>+IF(B880="","",SUBTOTAL(3,B$8:B880))</f>
        <v>873</v>
      </c>
      <c r="B880" s="106" t="str">
        <f>'Detailed Report'!O876</f>
        <v>Fuddruckers - New Maadi</v>
      </c>
      <c r="C880" s="107">
        <f>TRUNC('Detailed Report'!Q876,0)</f>
        <v>46051</v>
      </c>
      <c r="D880" s="108">
        <f>'Detailed Report'!P876</f>
        <v>3426462290</v>
      </c>
      <c r="E880" s="106" t="str">
        <f>'Detailed Report'!S876</f>
        <v>Successful</v>
      </c>
      <c r="F880" s="109">
        <f>IF(E880=$E$6,('Detailed Report'!Y876),IF(E880=$E$5,(0),0))</f>
        <v>329</v>
      </c>
      <c r="G880" s="106">
        <f>IF(E880=$E$6,('Detailed Report'!AQ876),IF(E880=$E$5,('Detailed Report'!AW876),0))</f>
        <v>288.59649000000002</v>
      </c>
      <c r="H880" s="106">
        <f>'Detailed Report'!AS876</f>
        <v>72.149119999999996</v>
      </c>
      <c r="I880" s="106">
        <f>'Detailed Report'!AT876</f>
        <v>10.1008768</v>
      </c>
      <c r="J880" s="106">
        <f>'Detailed Report'!AO876</f>
        <v>5.7575000000000003</v>
      </c>
      <c r="K880" s="106">
        <f>'Detailed Report'!AP876</f>
        <v>0.80605000000000004</v>
      </c>
      <c r="L880" s="106">
        <f>'Detailed Report'!AU876/1.14</f>
        <v>25.42982456140351</v>
      </c>
      <c r="M880" s="106">
        <f>'Detailed Report'!AU876-L880</f>
        <v>3.5601754385964881</v>
      </c>
      <c r="N880" s="110">
        <f>'Detailed Report'!AW876</f>
        <v>211.196</v>
      </c>
      <c r="O880" s="111">
        <f t="shared" si="59"/>
        <v>77.400490000000019</v>
      </c>
      <c r="P880" s="110">
        <f>'Detailed Report'!AM876</f>
        <v>0</v>
      </c>
      <c r="Q880" s="110">
        <f>'Detailed Report'!AN876</f>
        <v>0</v>
      </c>
      <c r="R880" s="110">
        <f>'Detailed Report'!AU876/1.14</f>
        <v>25.42982456140351</v>
      </c>
      <c r="S880" s="110">
        <f>'Detailed Report'!AU876-'........... - Otlob'!R880</f>
        <v>3.5601754385964881</v>
      </c>
    </row>
    <row r="881" spans="1:19" x14ac:dyDescent="0.25">
      <c r="A881" s="105">
        <f>+IF(B881="","",SUBTOTAL(3,B$8:B881))</f>
        <v>874</v>
      </c>
      <c r="B881" s="106" t="str">
        <f>'Detailed Report'!O877</f>
        <v>Fuddruckers - Concord Plaza Mall</v>
      </c>
      <c r="C881" s="107">
        <f>TRUNC('Detailed Report'!Q877,0)</f>
        <v>46051</v>
      </c>
      <c r="D881" s="108">
        <f>'Detailed Report'!P877</f>
        <v>3426542618</v>
      </c>
      <c r="E881" s="106" t="str">
        <f>'Detailed Report'!S877</f>
        <v>Successful</v>
      </c>
      <c r="F881" s="109">
        <f>IF(E881=$E$6,('Detailed Report'!Y877),IF(E881=$E$5,(0),0))</f>
        <v>767.99</v>
      </c>
      <c r="G881" s="106">
        <f>IF(E881=$E$6,('Detailed Report'!AQ877),IF(E881=$E$5,('Detailed Report'!AW877),0))</f>
        <v>673.67543999999998</v>
      </c>
      <c r="H881" s="106">
        <f>'Detailed Report'!AS877</f>
        <v>168.41886</v>
      </c>
      <c r="I881" s="106">
        <f>'Detailed Report'!AT877</f>
        <v>23.578640400000001</v>
      </c>
      <c r="J881" s="106">
        <f>'Detailed Report'!AO877</f>
        <v>0</v>
      </c>
      <c r="K881" s="106">
        <f>'Detailed Report'!AP877</f>
        <v>0</v>
      </c>
      <c r="L881" s="106">
        <f>'Detailed Report'!AU877/1.14</f>
        <v>0</v>
      </c>
      <c r="M881" s="106">
        <f>'Detailed Report'!AU877-L881</f>
        <v>0</v>
      </c>
      <c r="N881" s="110">
        <f>'Detailed Report'!AW877</f>
        <v>575.99199999999996</v>
      </c>
      <c r="O881" s="111">
        <f t="shared" si="59"/>
        <v>97.683440000000019</v>
      </c>
      <c r="P881" s="110">
        <f>'Detailed Report'!AM877</f>
        <v>0</v>
      </c>
      <c r="Q881" s="110">
        <f>'Detailed Report'!AN877</f>
        <v>0</v>
      </c>
      <c r="R881" s="110">
        <f>'Detailed Report'!AU877/1.14</f>
        <v>0</v>
      </c>
      <c r="S881" s="110">
        <f>'Detailed Report'!AU877-'........... - Otlob'!R881</f>
        <v>0</v>
      </c>
    </row>
    <row r="882" spans="1:19" x14ac:dyDescent="0.25">
      <c r="A882" s="105">
        <f>+IF(B882="","",SUBTOTAL(3,B$8:B882))</f>
        <v>875</v>
      </c>
      <c r="B882" s="106" t="str">
        <f>'Detailed Report'!O878</f>
        <v>Fuddruckers - City Stars</v>
      </c>
      <c r="C882" s="107">
        <f>TRUNC('Detailed Report'!Q878,0)</f>
        <v>46051</v>
      </c>
      <c r="D882" s="108">
        <f>'Detailed Report'!P878</f>
        <v>3426546129</v>
      </c>
      <c r="E882" s="106" t="str">
        <f>'Detailed Report'!S878</f>
        <v>Successful</v>
      </c>
      <c r="F882" s="109">
        <f>IF(E882=$E$6,('Detailed Report'!Y878),IF(E882=$E$5,(0),0))</f>
        <v>1439.29</v>
      </c>
      <c r="G882" s="106">
        <f>IF(E882=$E$6,('Detailed Report'!AQ878),IF(E882=$E$5,('Detailed Report'!AW878),0))</f>
        <v>1262.5350900000001</v>
      </c>
      <c r="H882" s="106">
        <f>'Detailed Report'!AS878</f>
        <v>315.63377000000003</v>
      </c>
      <c r="I882" s="106">
        <f>'Detailed Report'!AT878</f>
        <v>44.188727800000002</v>
      </c>
      <c r="J882" s="106">
        <f>'Detailed Report'!AO878</f>
        <v>25.187574999999999</v>
      </c>
      <c r="K882" s="106">
        <f>'Detailed Report'!AP878</f>
        <v>3.5262604999999998</v>
      </c>
      <c r="L882" s="106">
        <f>'Detailed Report'!AU878/1.14</f>
        <v>0</v>
      </c>
      <c r="M882" s="106">
        <f>'Detailed Report'!AU878-L882</f>
        <v>0</v>
      </c>
      <c r="N882" s="110">
        <f>'Detailed Report'!AW878</f>
        <v>1050.7539999999999</v>
      </c>
      <c r="O882" s="111">
        <f t="shared" si="59"/>
        <v>211.78109000000018</v>
      </c>
      <c r="P882" s="110">
        <f>'Detailed Report'!AM878</f>
        <v>0</v>
      </c>
      <c r="Q882" s="110">
        <f>'Detailed Report'!AN878</f>
        <v>0</v>
      </c>
      <c r="R882" s="110">
        <f>'Detailed Report'!AU878/1.14</f>
        <v>0</v>
      </c>
      <c r="S882" s="110">
        <f>'Detailed Report'!AU878-'........... - Otlob'!R882</f>
        <v>0</v>
      </c>
    </row>
    <row r="883" spans="1:19" x14ac:dyDescent="0.25">
      <c r="A883" s="105">
        <f>+IF(B883="","",SUBTOTAL(3,B$8:B883))</f>
        <v>876</v>
      </c>
      <c r="B883" s="106" t="str">
        <f>'Detailed Report'!O879</f>
        <v>Fuddruckers - City Stars</v>
      </c>
      <c r="C883" s="107">
        <f>TRUNC('Detailed Report'!Q879,0)</f>
        <v>46051</v>
      </c>
      <c r="D883" s="108">
        <f>'Detailed Report'!P879</f>
        <v>3426580036</v>
      </c>
      <c r="E883" s="106" t="str">
        <f>'Detailed Report'!S879</f>
        <v>Successful</v>
      </c>
      <c r="F883" s="109">
        <f>IF(E883=$E$6,('Detailed Report'!Y879),IF(E883=$E$5,(0),0))</f>
        <v>236.43</v>
      </c>
      <c r="G883" s="106">
        <f>IF(E883=$E$6,('Detailed Report'!AQ879),IF(E883=$E$5,('Detailed Report'!AW879),0))</f>
        <v>207.39474000000001</v>
      </c>
      <c r="H883" s="106">
        <f>'Detailed Report'!AS879</f>
        <v>51.848689999999998</v>
      </c>
      <c r="I883" s="106">
        <f>'Detailed Report'!AT879</f>
        <v>7.2588166000000003</v>
      </c>
      <c r="J883" s="106">
        <f>'Detailed Report'!AO879</f>
        <v>4.1375250000000001</v>
      </c>
      <c r="K883" s="106">
        <f>'Detailed Report'!AP879</f>
        <v>0.57925349999999998</v>
      </c>
      <c r="L883" s="106">
        <f>'Detailed Report'!AU879/1.14</f>
        <v>23.67543859649123</v>
      </c>
      <c r="M883" s="106">
        <f>'Detailed Report'!AU879-L883</f>
        <v>3.3145614035087689</v>
      </c>
      <c r="N883" s="110">
        <f>'Detailed Report'!AW879</f>
        <v>145.61600000000001</v>
      </c>
      <c r="O883" s="111">
        <f t="shared" si="59"/>
        <v>61.778739999999999</v>
      </c>
      <c r="P883" s="110">
        <f>'Detailed Report'!AM879</f>
        <v>0</v>
      </c>
      <c r="Q883" s="110">
        <f>'Detailed Report'!AN879</f>
        <v>0</v>
      </c>
      <c r="R883" s="110">
        <f>'Detailed Report'!AU879/1.14</f>
        <v>23.67543859649123</v>
      </c>
      <c r="S883" s="110">
        <f>'Detailed Report'!AU879-'........... - Otlob'!R883</f>
        <v>3.3145614035087689</v>
      </c>
    </row>
    <row r="884" spans="1:19" x14ac:dyDescent="0.25">
      <c r="A884" s="105">
        <f>+IF(B884="","",SUBTOTAL(3,B$8:B884))</f>
        <v>877</v>
      </c>
      <c r="B884" s="106" t="str">
        <f>'Detailed Report'!O880</f>
        <v>Fuddruckers - New Maadi</v>
      </c>
      <c r="C884" s="107">
        <f>TRUNC('Detailed Report'!Q880,0)</f>
        <v>46051</v>
      </c>
      <c r="D884" s="108">
        <f>'Detailed Report'!P880</f>
        <v>3426636201</v>
      </c>
      <c r="E884" s="106" t="str">
        <f>'Detailed Report'!S880</f>
        <v>Successful</v>
      </c>
      <c r="F884" s="109">
        <f>IF(E884=$E$6,('Detailed Report'!Y880),IF(E884=$E$5,(0),0))</f>
        <v>463.67</v>
      </c>
      <c r="G884" s="106">
        <f>IF(E884=$E$6,('Detailed Report'!AQ880),IF(E884=$E$5,('Detailed Report'!AW880),0))</f>
        <v>406.72807</v>
      </c>
      <c r="H884" s="106">
        <f>'Detailed Report'!AS880</f>
        <v>101.68201999999999</v>
      </c>
      <c r="I884" s="106">
        <f>'Detailed Report'!AT880</f>
        <v>14.2354828</v>
      </c>
      <c r="J884" s="106">
        <f>'Detailed Report'!AO880</f>
        <v>8.1142249999999994</v>
      </c>
      <c r="K884" s="106">
        <f>'Detailed Report'!AP880</f>
        <v>1.1359915</v>
      </c>
      <c r="L884" s="106">
        <f>'Detailed Report'!AU880/1.14</f>
        <v>26.307017543859651</v>
      </c>
      <c r="M884" s="106">
        <f>'Detailed Report'!AU880-L884</f>
        <v>3.6829824561403477</v>
      </c>
      <c r="N884" s="110">
        <f>'Detailed Report'!AW880</f>
        <v>308.512</v>
      </c>
      <c r="O884" s="111">
        <f t="shared" si="59"/>
        <v>98.216070000000002</v>
      </c>
      <c r="P884" s="110">
        <f>'Detailed Report'!AM880</f>
        <v>0</v>
      </c>
      <c r="Q884" s="110">
        <f>'Detailed Report'!AN880</f>
        <v>0</v>
      </c>
      <c r="R884" s="110">
        <f>'Detailed Report'!AU880/1.14</f>
        <v>26.307017543859651</v>
      </c>
      <c r="S884" s="110">
        <f>'Detailed Report'!AU880-'........... - Otlob'!R884</f>
        <v>3.6829824561403477</v>
      </c>
    </row>
    <row r="885" spans="1:19" x14ac:dyDescent="0.25">
      <c r="A885" s="105">
        <f>+IF(B885="","",SUBTOTAL(3,B$8:B885))</f>
        <v>878</v>
      </c>
      <c r="B885" s="106" t="str">
        <f>'Detailed Report'!O881</f>
        <v>Fuddruckers - Concord Plaza Mall</v>
      </c>
      <c r="C885" s="107">
        <f>TRUNC('Detailed Report'!Q881,0)</f>
        <v>46051</v>
      </c>
      <c r="D885" s="108">
        <f>'Detailed Report'!P881</f>
        <v>3426788342</v>
      </c>
      <c r="E885" s="106" t="str">
        <f>'Detailed Report'!S881</f>
        <v>Successful</v>
      </c>
      <c r="F885" s="109">
        <f>IF(E885=$E$6,('Detailed Report'!Y881),IF(E885=$E$5,(0),0))</f>
        <v>355.99</v>
      </c>
      <c r="G885" s="106">
        <f>IF(E885=$E$6,('Detailed Report'!AQ881),IF(E885=$E$5,('Detailed Report'!AW881),0))</f>
        <v>312.27193</v>
      </c>
      <c r="H885" s="106">
        <f>'Detailed Report'!AS881</f>
        <v>78.067980000000006</v>
      </c>
      <c r="I885" s="106">
        <f>'Detailed Report'!AT881</f>
        <v>10.929517199999999</v>
      </c>
      <c r="J885" s="106">
        <f>'Detailed Report'!AO881</f>
        <v>6.2298249999999999</v>
      </c>
      <c r="K885" s="106">
        <f>'Detailed Report'!AP881</f>
        <v>0.87217549999999999</v>
      </c>
      <c r="L885" s="106">
        <f>'Detailed Report'!AU881/1.14</f>
        <v>0</v>
      </c>
      <c r="M885" s="106">
        <f>'Detailed Report'!AU881-L885</f>
        <v>0</v>
      </c>
      <c r="N885" s="110">
        <f>'Detailed Report'!AW881</f>
        <v>259.89100000000002</v>
      </c>
      <c r="O885" s="111">
        <f t="shared" si="59"/>
        <v>52.380929999999978</v>
      </c>
      <c r="P885" s="110">
        <f>'Detailed Report'!AM881</f>
        <v>0</v>
      </c>
      <c r="Q885" s="110">
        <f>'Detailed Report'!AN881</f>
        <v>0</v>
      </c>
      <c r="R885" s="110">
        <f>'Detailed Report'!AU881/1.14</f>
        <v>0</v>
      </c>
      <c r="S885" s="110">
        <f>'Detailed Report'!AU881-'........... - Otlob'!R885</f>
        <v>0</v>
      </c>
    </row>
    <row r="886" spans="1:19" x14ac:dyDescent="0.25">
      <c r="A886" s="105">
        <f>+IF(B886="","",SUBTOTAL(3,B$8:B886))</f>
        <v>879</v>
      </c>
      <c r="B886" s="106" t="str">
        <f>'Detailed Report'!O882</f>
        <v>Fuddruckers - Concord Plaza Mall</v>
      </c>
      <c r="C886" s="107">
        <f>TRUNC('Detailed Report'!Q882,0)</f>
        <v>46051</v>
      </c>
      <c r="D886" s="108">
        <f>'Detailed Report'!P882</f>
        <v>3426791674</v>
      </c>
      <c r="E886" s="106" t="str">
        <f>'Detailed Report'!S882</f>
        <v>Successful</v>
      </c>
      <c r="F886" s="109">
        <f>IF(E886=$E$6,('Detailed Report'!Y882),IF(E886=$E$5,(0),0))</f>
        <v>1025.92</v>
      </c>
      <c r="G886" s="106">
        <f>IF(E886=$E$6,('Detailed Report'!AQ882),IF(E886=$E$5,('Detailed Report'!AW882),0))</f>
        <v>899.92981999999995</v>
      </c>
      <c r="H886" s="106">
        <f>'Detailed Report'!AS882</f>
        <v>224.98246</v>
      </c>
      <c r="I886" s="106">
        <f>'Detailed Report'!AT882</f>
        <v>31.497544399999999</v>
      </c>
      <c r="J886" s="106">
        <f>'Detailed Report'!AO882</f>
        <v>0</v>
      </c>
      <c r="K886" s="106">
        <f>'Detailed Report'!AP882</f>
        <v>0</v>
      </c>
      <c r="L886" s="106">
        <f>'Detailed Report'!AU882/1.14</f>
        <v>0</v>
      </c>
      <c r="M886" s="106">
        <f>'Detailed Report'!AU882-L886</f>
        <v>0</v>
      </c>
      <c r="N886" s="110">
        <f>'Detailed Report'!AW882</f>
        <v>769.44</v>
      </c>
      <c r="O886" s="111">
        <f t="shared" si="59"/>
        <v>130.4898199999999</v>
      </c>
      <c r="P886" s="110">
        <f>'Detailed Report'!AM882</f>
        <v>0</v>
      </c>
      <c r="Q886" s="110">
        <f>'Detailed Report'!AN882</f>
        <v>0</v>
      </c>
      <c r="R886" s="110">
        <f>'Detailed Report'!AU882/1.14</f>
        <v>0</v>
      </c>
      <c r="S886" s="110">
        <f>'Detailed Report'!AU882-'........... - Otlob'!R886</f>
        <v>0</v>
      </c>
    </row>
    <row r="887" spans="1:19" x14ac:dyDescent="0.25">
      <c r="A887" s="105">
        <f>+IF(B887="","",SUBTOTAL(3,B$8:B887))</f>
        <v>880</v>
      </c>
      <c r="B887" s="106" t="str">
        <f>'Detailed Report'!O883</f>
        <v>Fuddruckers - Concord Plaza Mall</v>
      </c>
      <c r="C887" s="107">
        <f>TRUNC('Detailed Report'!Q883,0)</f>
        <v>46051</v>
      </c>
      <c r="D887" s="108">
        <f>'Detailed Report'!P883</f>
        <v>3426859833</v>
      </c>
      <c r="E887" s="106" t="str">
        <f>'Detailed Report'!S883</f>
        <v>Successful</v>
      </c>
      <c r="F887" s="109">
        <f>IF(E887=$E$6,('Detailed Report'!Y883),IF(E887=$E$5,(0),0))</f>
        <v>389.99</v>
      </c>
      <c r="G887" s="106">
        <f>IF(E887=$E$6,('Detailed Report'!AQ883),IF(E887=$E$5,('Detailed Report'!AW883),0))</f>
        <v>342.09649000000002</v>
      </c>
      <c r="H887" s="106">
        <f>'Detailed Report'!AS883</f>
        <v>85.524119999999996</v>
      </c>
      <c r="I887" s="106">
        <f>'Detailed Report'!AT883</f>
        <v>11.9733768</v>
      </c>
      <c r="J887" s="106">
        <f>'Detailed Report'!AO883</f>
        <v>6.8248249999999997</v>
      </c>
      <c r="K887" s="106">
        <f>'Detailed Report'!AP883</f>
        <v>0.95547550000000003</v>
      </c>
      <c r="L887" s="106">
        <f>'Detailed Report'!AU883/1.14</f>
        <v>28.938596491228076</v>
      </c>
      <c r="M887" s="106">
        <f>'Detailed Report'!AU883-L887</f>
        <v>4.0514035087719265</v>
      </c>
      <c r="N887" s="110">
        <f>'Detailed Report'!AW883</f>
        <v>251.72200000000001</v>
      </c>
      <c r="O887" s="111">
        <f t="shared" si="59"/>
        <v>90.374490000000009</v>
      </c>
      <c r="P887" s="110">
        <f>'Detailed Report'!AM883</f>
        <v>0</v>
      </c>
      <c r="Q887" s="110">
        <f>'Detailed Report'!AN883</f>
        <v>0</v>
      </c>
      <c r="R887" s="110">
        <f>'Detailed Report'!AU883/1.14</f>
        <v>28.938596491228076</v>
      </c>
      <c r="S887" s="110">
        <f>'Detailed Report'!AU883-'........... - Otlob'!R887</f>
        <v>4.0514035087719265</v>
      </c>
    </row>
    <row r="888" spans="1:19" x14ac:dyDescent="0.25">
      <c r="A888" s="105">
        <f>+IF(B888="","",SUBTOTAL(3,B$8:B888))</f>
        <v>881</v>
      </c>
      <c r="B888" s="106" t="str">
        <f>'Detailed Report'!O884</f>
        <v>Fuddruckers - New Maadi</v>
      </c>
      <c r="C888" s="107">
        <f>TRUNC('Detailed Report'!Q884,0)</f>
        <v>46051</v>
      </c>
      <c r="D888" s="108">
        <f>'Detailed Report'!P884</f>
        <v>3426871760</v>
      </c>
      <c r="E888" s="106" t="str">
        <f>'Detailed Report'!S884</f>
        <v>Successful</v>
      </c>
      <c r="F888" s="109">
        <f>IF(E888=$E$6,('Detailed Report'!Y884),IF(E888=$E$5,(0),0))</f>
        <v>319.99</v>
      </c>
      <c r="G888" s="106">
        <f>IF(E888=$E$6,('Detailed Report'!AQ884),IF(E888=$E$5,('Detailed Report'!AW884),0))</f>
        <v>280.69297999999998</v>
      </c>
      <c r="H888" s="106">
        <f>'Detailed Report'!AS884</f>
        <v>70.173249999999996</v>
      </c>
      <c r="I888" s="106">
        <f>'Detailed Report'!AT884</f>
        <v>9.8242550000000008</v>
      </c>
      <c r="J888" s="106">
        <f>'Detailed Report'!AO884</f>
        <v>5.5998250000000001</v>
      </c>
      <c r="K888" s="106">
        <f>'Detailed Report'!AP884</f>
        <v>0.78397550000000005</v>
      </c>
      <c r="L888" s="106">
        <f>'Detailed Report'!AU884/1.14</f>
        <v>0</v>
      </c>
      <c r="M888" s="106">
        <f>'Detailed Report'!AU884-L888</f>
        <v>0</v>
      </c>
      <c r="N888" s="110">
        <f>'Detailed Report'!AW884</f>
        <v>233.60900000000001</v>
      </c>
      <c r="O888" s="111">
        <f t="shared" si="59"/>
        <v>47.083979999999968</v>
      </c>
      <c r="P888" s="110">
        <f>'Detailed Report'!AM884</f>
        <v>0</v>
      </c>
      <c r="Q888" s="110">
        <f>'Detailed Report'!AN884</f>
        <v>0</v>
      </c>
      <c r="R888" s="110">
        <f>'Detailed Report'!AU884/1.14</f>
        <v>0</v>
      </c>
      <c r="S888" s="110">
        <f>'Detailed Report'!AU884-'........... - Otlob'!R888</f>
        <v>0</v>
      </c>
    </row>
    <row r="889" spans="1:19" x14ac:dyDescent="0.25">
      <c r="A889" s="105">
        <f>+IF(B889="","",SUBTOTAL(3,B$8:B889))</f>
        <v>882</v>
      </c>
      <c r="B889" s="106" t="str">
        <f>'Detailed Report'!O885</f>
        <v>Fuddruckers - City Stars</v>
      </c>
      <c r="C889" s="107">
        <f>TRUNC('Detailed Report'!Q885,0)</f>
        <v>46051</v>
      </c>
      <c r="D889" s="108">
        <f>'Detailed Report'!P885</f>
        <v>3426887007</v>
      </c>
      <c r="E889" s="106" t="str">
        <f>'Detailed Report'!S885</f>
        <v>Successful</v>
      </c>
      <c r="F889" s="109">
        <f>IF(E889=$E$6,('Detailed Report'!Y885),IF(E889=$E$5,(0),0))</f>
        <v>417.99</v>
      </c>
      <c r="G889" s="106">
        <f>IF(E889=$E$6,('Detailed Report'!AQ885),IF(E889=$E$5,('Detailed Report'!AW885),0))</f>
        <v>366.65789000000001</v>
      </c>
      <c r="H889" s="106">
        <f>'Detailed Report'!AS885</f>
        <v>91.664469999999994</v>
      </c>
      <c r="I889" s="106">
        <f>'Detailed Report'!AT885</f>
        <v>12.8330258</v>
      </c>
      <c r="J889" s="106">
        <f>'Detailed Report'!AO885</f>
        <v>0</v>
      </c>
      <c r="K889" s="106">
        <f>'Detailed Report'!AP885</f>
        <v>0</v>
      </c>
      <c r="L889" s="106">
        <f>'Detailed Report'!AU885/1.14</f>
        <v>0</v>
      </c>
      <c r="M889" s="106">
        <f>'Detailed Report'!AU885-L889</f>
        <v>0</v>
      </c>
      <c r="N889" s="110">
        <f>'Detailed Report'!AW885</f>
        <v>313.49299999999999</v>
      </c>
      <c r="O889" s="111">
        <f t="shared" si="59"/>
        <v>53.164890000000014</v>
      </c>
      <c r="P889" s="110">
        <f>'Detailed Report'!AM885</f>
        <v>0</v>
      </c>
      <c r="Q889" s="110">
        <f>'Detailed Report'!AN885</f>
        <v>0</v>
      </c>
      <c r="R889" s="110">
        <f>'Detailed Report'!AU885/1.14</f>
        <v>0</v>
      </c>
      <c r="S889" s="110">
        <f>'Detailed Report'!AU885-'........... - Otlob'!R889</f>
        <v>0</v>
      </c>
    </row>
    <row r="890" spans="1:19" x14ac:dyDescent="0.25">
      <c r="A890" s="105">
        <f>+IF(B890="","",SUBTOTAL(3,B$8:B890))</f>
        <v>883</v>
      </c>
      <c r="B890" s="106" t="str">
        <f>'Detailed Report'!O886</f>
        <v>Fuddruckers - City Stars</v>
      </c>
      <c r="C890" s="107">
        <f>TRUNC('Detailed Report'!Q886,0)</f>
        <v>46051</v>
      </c>
      <c r="D890" s="108">
        <f>'Detailed Report'!P886</f>
        <v>3426899817</v>
      </c>
      <c r="E890" s="106" t="str">
        <f>'Detailed Report'!S886</f>
        <v>Successful</v>
      </c>
      <c r="F890" s="109">
        <f>IF(E890=$E$6,('Detailed Report'!Y886),IF(E890=$E$5,(0),0))</f>
        <v>693.98</v>
      </c>
      <c r="G890" s="106">
        <f>IF(E890=$E$6,('Detailed Report'!AQ886),IF(E890=$E$5,('Detailed Report'!AW886),0))</f>
        <v>608.75438999999994</v>
      </c>
      <c r="H890" s="106">
        <f>'Detailed Report'!AS886</f>
        <v>152.18860000000001</v>
      </c>
      <c r="I890" s="106">
        <f>'Detailed Report'!AT886</f>
        <v>21.306404000000001</v>
      </c>
      <c r="J890" s="106">
        <f>'Detailed Report'!AO886</f>
        <v>0</v>
      </c>
      <c r="K890" s="106">
        <f>'Detailed Report'!AP886</f>
        <v>0</v>
      </c>
      <c r="L890" s="106">
        <f>'Detailed Report'!AU886/1.14</f>
        <v>0</v>
      </c>
      <c r="M890" s="106">
        <f>'Detailed Report'!AU886-L890</f>
        <v>0</v>
      </c>
      <c r="N890" s="110">
        <f>'Detailed Report'!AW886</f>
        <v>520.48500000000001</v>
      </c>
      <c r="O890" s="111">
        <f t="shared" si="59"/>
        <v>88.26938999999993</v>
      </c>
      <c r="P890" s="110">
        <f>'Detailed Report'!AM886</f>
        <v>0</v>
      </c>
      <c r="Q890" s="110">
        <f>'Detailed Report'!AN886</f>
        <v>0</v>
      </c>
      <c r="R890" s="110">
        <f>'Detailed Report'!AU886/1.14</f>
        <v>0</v>
      </c>
      <c r="S890" s="110">
        <f>'Detailed Report'!AU886-'........... - Otlob'!R890</f>
        <v>0</v>
      </c>
    </row>
    <row r="891" spans="1:19" x14ac:dyDescent="0.25">
      <c r="A891" s="105">
        <f>+IF(B891="","",SUBTOTAL(3,B$8:B891))</f>
        <v>884</v>
      </c>
      <c r="B891" s="106" t="str">
        <f>'Detailed Report'!O887</f>
        <v>Fuddruckers - New Maadi</v>
      </c>
      <c r="C891" s="107">
        <f>TRUNC('Detailed Report'!Q887,0)</f>
        <v>46051</v>
      </c>
      <c r="D891" s="108">
        <f>'Detailed Report'!P887</f>
        <v>3426910870</v>
      </c>
      <c r="E891" s="106" t="str">
        <f>'Detailed Report'!S887</f>
        <v>Successful</v>
      </c>
      <c r="F891" s="109">
        <f>IF(E891=$E$6,('Detailed Report'!Y887),IF(E891=$E$5,(0),0))</f>
        <v>61.33</v>
      </c>
      <c r="G891" s="106">
        <f>IF(E891=$E$6,('Detailed Report'!AQ887),IF(E891=$E$5,('Detailed Report'!AW887),0))</f>
        <v>53.798250000000003</v>
      </c>
      <c r="H891" s="106">
        <f>'Detailed Report'!AS887</f>
        <v>13.44956</v>
      </c>
      <c r="I891" s="106">
        <f>'Detailed Report'!AT887</f>
        <v>1.8829384</v>
      </c>
      <c r="J891" s="106">
        <f>'Detailed Report'!AO887</f>
        <v>1.0732837500000001</v>
      </c>
      <c r="K891" s="106">
        <f>'Detailed Report'!AP887</f>
        <v>0.15025972500000001</v>
      </c>
      <c r="L891" s="106">
        <f>'Detailed Report'!AU887/1.14</f>
        <v>0</v>
      </c>
      <c r="M891" s="106">
        <f>'Detailed Report'!AU887-L891</f>
        <v>0</v>
      </c>
      <c r="N891" s="110">
        <f>'Detailed Report'!AW887</f>
        <v>44.774000000000001</v>
      </c>
      <c r="O891" s="111">
        <f t="shared" si="59"/>
        <v>9.0242500000000021</v>
      </c>
      <c r="P891" s="110">
        <f>'Detailed Report'!AM887</f>
        <v>0</v>
      </c>
      <c r="Q891" s="110">
        <f>'Detailed Report'!AN887</f>
        <v>0</v>
      </c>
      <c r="R891" s="110">
        <f>'Detailed Report'!AU887/1.14</f>
        <v>0</v>
      </c>
      <c r="S891" s="110">
        <f>'Detailed Report'!AU887-'........... - Otlob'!R891</f>
        <v>0</v>
      </c>
    </row>
    <row r="892" spans="1:19" x14ac:dyDescent="0.25">
      <c r="A892" s="105">
        <f>+IF(B892="","",SUBTOTAL(3,B$8:B892))</f>
        <v>885</v>
      </c>
      <c r="B892" s="106" t="str">
        <f>'Detailed Report'!O888</f>
        <v>Fuddruckers - New Maadi</v>
      </c>
      <c r="C892" s="107">
        <f>TRUNC('Detailed Report'!Q888,0)</f>
        <v>46051</v>
      </c>
      <c r="D892" s="108">
        <f>'Detailed Report'!P888</f>
        <v>3426943417</v>
      </c>
      <c r="E892" s="106" t="str">
        <f>'Detailed Report'!S888</f>
        <v>Successful</v>
      </c>
      <c r="F892" s="109">
        <f>IF(E892=$E$6,('Detailed Report'!Y888),IF(E892=$E$5,(0),0))</f>
        <v>189.99</v>
      </c>
      <c r="G892" s="106">
        <f>IF(E892=$E$6,('Detailed Report'!AQ888),IF(E892=$E$5,('Detailed Report'!AW888),0))</f>
        <v>166.65789000000001</v>
      </c>
      <c r="H892" s="106">
        <f>'Detailed Report'!AS888</f>
        <v>41.664470000000001</v>
      </c>
      <c r="I892" s="106">
        <f>'Detailed Report'!AT888</f>
        <v>5.8330257999999997</v>
      </c>
      <c r="J892" s="106">
        <f>'Detailed Report'!AO888</f>
        <v>3.3248250000000001</v>
      </c>
      <c r="K892" s="106">
        <f>'Detailed Report'!AP888</f>
        <v>0.46547549999999999</v>
      </c>
      <c r="L892" s="106">
        <f>'Detailed Report'!AU888/1.14</f>
        <v>24.55263157894737</v>
      </c>
      <c r="M892" s="106">
        <f>'Detailed Report'!AU888-L892</f>
        <v>3.4373684210526285</v>
      </c>
      <c r="N892" s="110">
        <f>'Detailed Report'!AW888</f>
        <v>110.712</v>
      </c>
      <c r="O892" s="111">
        <f t="shared" si="59"/>
        <v>55.945890000000006</v>
      </c>
      <c r="P892" s="110">
        <f>'Detailed Report'!AM888</f>
        <v>0</v>
      </c>
      <c r="Q892" s="110">
        <f>'Detailed Report'!AN888</f>
        <v>0</v>
      </c>
      <c r="R892" s="110">
        <f>'Detailed Report'!AU888/1.14</f>
        <v>24.55263157894737</v>
      </c>
      <c r="S892" s="110">
        <f>'Detailed Report'!AU888-'........... - Otlob'!R892</f>
        <v>3.4373684210526285</v>
      </c>
    </row>
    <row r="893" spans="1:19" x14ac:dyDescent="0.25">
      <c r="A893" s="105">
        <f>+IF(B893="","",SUBTOTAL(3,B$8:B893))</f>
        <v>886</v>
      </c>
      <c r="B893" s="106" t="str">
        <f>'Detailed Report'!O889</f>
        <v>Fuddruckers - Concord Plaza Mall</v>
      </c>
      <c r="C893" s="107">
        <f>TRUNC('Detailed Report'!Q889,0)</f>
        <v>46051</v>
      </c>
      <c r="D893" s="108">
        <f>'Detailed Report'!P889</f>
        <v>3427091167</v>
      </c>
      <c r="E893" s="106" t="str">
        <f>'Detailed Report'!S889</f>
        <v>Successful</v>
      </c>
      <c r="F893" s="109">
        <f>IF(E893=$E$6,('Detailed Report'!Y889),IF(E893=$E$5,(0),0))</f>
        <v>707.96</v>
      </c>
      <c r="G893" s="106">
        <f>IF(E893=$E$6,('Detailed Report'!AQ889),IF(E893=$E$5,('Detailed Report'!AW889),0))</f>
        <v>621.01754000000005</v>
      </c>
      <c r="H893" s="106">
        <f>'Detailed Report'!AS889</f>
        <v>155.25439</v>
      </c>
      <c r="I893" s="106">
        <f>'Detailed Report'!AT889</f>
        <v>21.735614600000002</v>
      </c>
      <c r="J893" s="106">
        <f>'Detailed Report'!AO889</f>
        <v>12.3893</v>
      </c>
      <c r="K893" s="106">
        <f>'Detailed Report'!AP889</f>
        <v>1.734502</v>
      </c>
      <c r="L893" s="106">
        <f>'Detailed Report'!AU889/1.14</f>
        <v>0</v>
      </c>
      <c r="M893" s="106">
        <f>'Detailed Report'!AU889-L893</f>
        <v>0</v>
      </c>
      <c r="N893" s="110">
        <f>'Detailed Report'!AW889</f>
        <v>516.846</v>
      </c>
      <c r="O893" s="111">
        <f t="shared" si="59"/>
        <v>104.17154000000005</v>
      </c>
      <c r="P893" s="110">
        <f>'Detailed Report'!AM889</f>
        <v>0</v>
      </c>
      <c r="Q893" s="110">
        <f>'Detailed Report'!AN889</f>
        <v>0</v>
      </c>
      <c r="R893" s="110">
        <f>'Detailed Report'!AU889/1.14</f>
        <v>0</v>
      </c>
      <c r="S893" s="110">
        <f>'Detailed Report'!AU889-'........... - Otlob'!R893</f>
        <v>0</v>
      </c>
    </row>
    <row r="894" spans="1:19" x14ac:dyDescent="0.25">
      <c r="A894" s="105">
        <f>+IF(B894="","",SUBTOTAL(3,B$8:B894))</f>
        <v>887</v>
      </c>
      <c r="B894" s="106" t="str">
        <f>'Detailed Report'!O890</f>
        <v>Fuddruckers - New Maadi</v>
      </c>
      <c r="C894" s="107">
        <f>TRUNC('Detailed Report'!Q890,0)</f>
        <v>46051</v>
      </c>
      <c r="D894" s="108">
        <f>'Detailed Report'!P890</f>
        <v>3427110137</v>
      </c>
      <c r="E894" s="106" t="str">
        <f>'Detailed Report'!S890</f>
        <v>Successful</v>
      </c>
      <c r="F894" s="109">
        <f>IF(E894=$E$6,('Detailed Report'!Y890),IF(E894=$E$5,(0),0))</f>
        <v>1055.98</v>
      </c>
      <c r="G894" s="106">
        <f>IF(E894=$E$6,('Detailed Report'!AQ890),IF(E894=$E$5,('Detailed Report'!AW890),0))</f>
        <v>926.29825000000005</v>
      </c>
      <c r="H894" s="106">
        <f>'Detailed Report'!AS890</f>
        <v>231.57455999999999</v>
      </c>
      <c r="I894" s="106">
        <f>'Detailed Report'!AT890</f>
        <v>32.420438400000002</v>
      </c>
      <c r="J894" s="106">
        <f>'Detailed Report'!AO890</f>
        <v>18.479649999999999</v>
      </c>
      <c r="K894" s="106">
        <f>'Detailed Report'!AP890</f>
        <v>2.587151</v>
      </c>
      <c r="L894" s="106">
        <f>'Detailed Report'!AU890/1.14</f>
        <v>24.55263157894737</v>
      </c>
      <c r="M894" s="106">
        <f>'Detailed Report'!AU890-L894</f>
        <v>3.4373684210526285</v>
      </c>
      <c r="N894" s="110">
        <f>'Detailed Report'!AW890</f>
        <v>742.928</v>
      </c>
      <c r="O894" s="111">
        <f t="shared" si="59"/>
        <v>183.37025000000006</v>
      </c>
      <c r="P894" s="110">
        <f>'Detailed Report'!AM890</f>
        <v>0</v>
      </c>
      <c r="Q894" s="110">
        <f>'Detailed Report'!AN890</f>
        <v>0</v>
      </c>
      <c r="R894" s="110">
        <f>'Detailed Report'!AU890/1.14</f>
        <v>24.55263157894737</v>
      </c>
      <c r="S894" s="110">
        <f>'Detailed Report'!AU890-'........... - Otlob'!R894</f>
        <v>3.4373684210526285</v>
      </c>
    </row>
    <row r="895" spans="1:19" x14ac:dyDescent="0.25">
      <c r="A895" s="105">
        <f>+IF(B895="","",SUBTOTAL(3,B$8:B895))</f>
        <v>888</v>
      </c>
      <c r="B895" s="106" t="str">
        <f>'Detailed Report'!O891</f>
        <v>Fuddruckers - City Stars</v>
      </c>
      <c r="C895" s="107">
        <f>TRUNC('Detailed Report'!Q891,0)</f>
        <v>46051</v>
      </c>
      <c r="D895" s="108">
        <f>'Detailed Report'!P891</f>
        <v>3427113288</v>
      </c>
      <c r="E895" s="106" t="str">
        <f>'Detailed Report'!S891</f>
        <v>Successful</v>
      </c>
      <c r="F895" s="109">
        <f>IF(E895=$E$6,('Detailed Report'!Y891),IF(E895=$E$5,(0),0))</f>
        <v>356.19</v>
      </c>
      <c r="G895" s="106">
        <f>IF(E895=$E$6,('Detailed Report'!AQ891),IF(E895=$E$5,('Detailed Report'!AW891),0))</f>
        <v>312.44736999999998</v>
      </c>
      <c r="H895" s="106">
        <f>'Detailed Report'!AS891</f>
        <v>78.111840000000001</v>
      </c>
      <c r="I895" s="106">
        <f>'Detailed Report'!AT891</f>
        <v>10.935657600000001</v>
      </c>
      <c r="J895" s="106">
        <f>'Detailed Report'!AO891</f>
        <v>6.2333249999999998</v>
      </c>
      <c r="K895" s="106">
        <f>'Detailed Report'!AP891</f>
        <v>0.87266549999999998</v>
      </c>
      <c r="L895" s="106">
        <f>'Detailed Report'!AU891/1.14</f>
        <v>24.55263157894737</v>
      </c>
      <c r="M895" s="106">
        <f>'Detailed Report'!AU891-L895</f>
        <v>3.4373684210526285</v>
      </c>
      <c r="N895" s="110">
        <f>'Detailed Report'!AW891</f>
        <v>232.047</v>
      </c>
      <c r="O895" s="111">
        <f t="shared" si="59"/>
        <v>80.400369999999981</v>
      </c>
      <c r="P895" s="110">
        <f>'Detailed Report'!AM891</f>
        <v>0</v>
      </c>
      <c r="Q895" s="110">
        <f>'Detailed Report'!AN891</f>
        <v>0</v>
      </c>
      <c r="R895" s="110">
        <f>'Detailed Report'!AU891/1.14</f>
        <v>24.55263157894737</v>
      </c>
      <c r="S895" s="110">
        <f>'Detailed Report'!AU891-'........... - Otlob'!R895</f>
        <v>3.4373684210526285</v>
      </c>
    </row>
    <row r="896" spans="1:19" x14ac:dyDescent="0.25">
      <c r="A896" s="105">
        <f>+IF(B896="","",SUBTOTAL(3,B$8:B896))</f>
        <v>889</v>
      </c>
      <c r="B896" s="106" t="str">
        <f>'Detailed Report'!O892</f>
        <v>Fuddruckers - New Maadi</v>
      </c>
      <c r="C896" s="107">
        <f>TRUNC('Detailed Report'!Q892,0)</f>
        <v>46051</v>
      </c>
      <c r="D896" s="108">
        <f>'Detailed Report'!P892</f>
        <v>3427120653</v>
      </c>
      <c r="E896" s="106" t="str">
        <f>'Detailed Report'!S892</f>
        <v>Successful</v>
      </c>
      <c r="F896" s="109">
        <f>IF(E896=$E$6,('Detailed Report'!Y892),IF(E896=$E$5,(0),0))</f>
        <v>352</v>
      </c>
      <c r="G896" s="106">
        <f>IF(E896=$E$6,('Detailed Report'!AQ892),IF(E896=$E$5,('Detailed Report'!AW892),0))</f>
        <v>308.77193</v>
      </c>
      <c r="H896" s="106">
        <f>'Detailed Report'!AS892</f>
        <v>77.192980000000006</v>
      </c>
      <c r="I896" s="106">
        <f>'Detailed Report'!AT892</f>
        <v>10.807017200000001</v>
      </c>
      <c r="J896" s="106">
        <f>'Detailed Report'!AO892</f>
        <v>6.16</v>
      </c>
      <c r="K896" s="106">
        <f>'Detailed Report'!AP892</f>
        <v>0.86240000000000006</v>
      </c>
      <c r="L896" s="106">
        <f>'Detailed Report'!AU892/1.14</f>
        <v>0</v>
      </c>
      <c r="M896" s="106">
        <f>'Detailed Report'!AU892-L896</f>
        <v>0</v>
      </c>
      <c r="N896" s="110">
        <f>'Detailed Report'!AW892</f>
        <v>256.97800000000001</v>
      </c>
      <c r="O896" s="111">
        <f t="shared" si="59"/>
        <v>51.793929999999989</v>
      </c>
      <c r="P896" s="110">
        <f>'Detailed Report'!AM892</f>
        <v>0</v>
      </c>
      <c r="Q896" s="110">
        <f>'Detailed Report'!AN892</f>
        <v>0</v>
      </c>
      <c r="R896" s="110">
        <f>'Detailed Report'!AU892/1.14</f>
        <v>0</v>
      </c>
      <c r="S896" s="110">
        <f>'Detailed Report'!AU892-'........... - Otlob'!R896</f>
        <v>0</v>
      </c>
    </row>
    <row r="897" spans="1:19" x14ac:dyDescent="0.25">
      <c r="A897" s="105">
        <f>+IF(B897="","",SUBTOTAL(3,B$8:B897))</f>
        <v>890</v>
      </c>
      <c r="B897" s="106" t="str">
        <f>'Detailed Report'!O893</f>
        <v>Fuddruckers - New Maadi</v>
      </c>
      <c r="C897" s="107">
        <f>TRUNC('Detailed Report'!Q893,0)</f>
        <v>46051</v>
      </c>
      <c r="D897" s="108">
        <f>'Detailed Report'!P893</f>
        <v>3427192075</v>
      </c>
      <c r="E897" s="106" t="str">
        <f>'Detailed Report'!S893</f>
        <v>Successful</v>
      </c>
      <c r="F897" s="109">
        <f>IF(E897=$E$6,('Detailed Report'!Y893),IF(E897=$E$5,(0),0))</f>
        <v>673.98</v>
      </c>
      <c r="G897" s="106">
        <f>IF(E897=$E$6,('Detailed Report'!AQ893),IF(E897=$E$5,('Detailed Report'!AW893),0))</f>
        <v>591.21052999999995</v>
      </c>
      <c r="H897" s="106">
        <f>'Detailed Report'!AS893</f>
        <v>147.80262999999999</v>
      </c>
      <c r="I897" s="106">
        <f>'Detailed Report'!AT893</f>
        <v>20.692368200000001</v>
      </c>
      <c r="J897" s="106">
        <f>'Detailed Report'!AO893</f>
        <v>11.794650000000001</v>
      </c>
      <c r="K897" s="106">
        <f>'Detailed Report'!AP893</f>
        <v>1.651251</v>
      </c>
      <c r="L897" s="106">
        <f>'Detailed Report'!AU893/1.14</f>
        <v>26.307017543859651</v>
      </c>
      <c r="M897" s="106">
        <f>'Detailed Report'!AU893-L897</f>
        <v>3.6829824561403477</v>
      </c>
      <c r="N897" s="110">
        <f>'Detailed Report'!AW893</f>
        <v>462.04899999999998</v>
      </c>
      <c r="O897" s="111">
        <f t="shared" si="59"/>
        <v>129.16152999999997</v>
      </c>
      <c r="P897" s="110">
        <f>'Detailed Report'!AM893</f>
        <v>0</v>
      </c>
      <c r="Q897" s="110">
        <f>'Detailed Report'!AN893</f>
        <v>0</v>
      </c>
      <c r="R897" s="110">
        <f>'Detailed Report'!AU893/1.14</f>
        <v>26.307017543859651</v>
      </c>
      <c r="S897" s="110">
        <f>'Detailed Report'!AU893-'........... - Otlob'!R897</f>
        <v>3.6829824561403477</v>
      </c>
    </row>
    <row r="898" spans="1:19" x14ac:dyDescent="0.25">
      <c r="A898" s="105">
        <f>+IF(B898="","",SUBTOTAL(3,B$8:B898))</f>
        <v>891</v>
      </c>
      <c r="B898" s="106" t="str">
        <f>'Detailed Report'!O894</f>
        <v>Fuddruckers - Concord Plaza Mall</v>
      </c>
      <c r="C898" s="107">
        <f>TRUNC('Detailed Report'!Q894,0)</f>
        <v>46051</v>
      </c>
      <c r="D898" s="108">
        <f>'Detailed Report'!P894</f>
        <v>3427219193</v>
      </c>
      <c r="E898" s="106" t="str">
        <f>'Detailed Report'!S894</f>
        <v>Successful</v>
      </c>
      <c r="F898" s="109">
        <f>IF(E898=$E$6,('Detailed Report'!Y894),IF(E898=$E$5,(0),0))</f>
        <v>392.98</v>
      </c>
      <c r="G898" s="106">
        <f>IF(E898=$E$6,('Detailed Report'!AQ894),IF(E898=$E$5,('Detailed Report'!AW894),0))</f>
        <v>344.71929999999998</v>
      </c>
      <c r="H898" s="106">
        <f>'Detailed Report'!AS894</f>
        <v>86.179829999999995</v>
      </c>
      <c r="I898" s="106">
        <f>'Detailed Report'!AT894</f>
        <v>12.0651762</v>
      </c>
      <c r="J898" s="106">
        <f>'Detailed Report'!AO894</f>
        <v>6.8771500000000003</v>
      </c>
      <c r="K898" s="106">
        <f>'Detailed Report'!AP894</f>
        <v>0.96280100000000002</v>
      </c>
      <c r="L898" s="106">
        <f>'Detailed Report'!AU894/1.14</f>
        <v>0</v>
      </c>
      <c r="M898" s="106">
        <f>'Detailed Report'!AU894-L898</f>
        <v>0</v>
      </c>
      <c r="N898" s="110">
        <f>'Detailed Report'!AW894</f>
        <v>286.89499999999998</v>
      </c>
      <c r="O898" s="111">
        <f t="shared" si="59"/>
        <v>57.824299999999994</v>
      </c>
      <c r="P898" s="110">
        <f>'Detailed Report'!AM894</f>
        <v>0</v>
      </c>
      <c r="Q898" s="110">
        <f>'Detailed Report'!AN894</f>
        <v>0</v>
      </c>
      <c r="R898" s="110">
        <f>'Detailed Report'!AU894/1.14</f>
        <v>0</v>
      </c>
      <c r="S898" s="110">
        <f>'Detailed Report'!AU894-'........... - Otlob'!R898</f>
        <v>0</v>
      </c>
    </row>
    <row r="899" spans="1:19" x14ac:dyDescent="0.25">
      <c r="A899" s="105">
        <f>+IF(B899="","",SUBTOTAL(3,B$8:B899))</f>
        <v>892</v>
      </c>
      <c r="B899" s="106" t="str">
        <f>'Detailed Report'!O895</f>
        <v>Fuddruckers - New Maadi</v>
      </c>
      <c r="C899" s="107">
        <f>TRUNC('Detailed Report'!Q895,0)</f>
        <v>46051</v>
      </c>
      <c r="D899" s="108">
        <f>'Detailed Report'!P895</f>
        <v>3427219331</v>
      </c>
      <c r="E899" s="106" t="str">
        <f>'Detailed Report'!S895</f>
        <v>Successful</v>
      </c>
      <c r="F899" s="109">
        <f>IF(E899=$E$6,('Detailed Report'!Y895),IF(E899=$E$5,(0),0))</f>
        <v>618.25</v>
      </c>
      <c r="G899" s="106">
        <f>IF(E899=$E$6,('Detailed Report'!AQ895),IF(E899=$E$5,('Detailed Report'!AW895),0))</f>
        <v>542.32456000000002</v>
      </c>
      <c r="H899" s="106">
        <f>'Detailed Report'!AS895</f>
        <v>135.58114</v>
      </c>
      <c r="I899" s="106">
        <f>'Detailed Report'!AT895</f>
        <v>18.981359600000001</v>
      </c>
      <c r="J899" s="106">
        <f>'Detailed Report'!AO895</f>
        <v>10.819375000000001</v>
      </c>
      <c r="K899" s="106">
        <f>'Detailed Report'!AP895</f>
        <v>1.5147124999999999</v>
      </c>
      <c r="L899" s="106">
        <f>'Detailed Report'!AU895/1.14</f>
        <v>25.42982456140351</v>
      </c>
      <c r="M899" s="106">
        <f>'Detailed Report'!AU895-L899</f>
        <v>3.5601754385964881</v>
      </c>
      <c r="N899" s="110">
        <f>'Detailed Report'!AW895</f>
        <v>422.363</v>
      </c>
      <c r="O899" s="111">
        <f t="shared" si="59"/>
        <v>119.96156000000002</v>
      </c>
      <c r="P899" s="110">
        <f>'Detailed Report'!AM895</f>
        <v>0</v>
      </c>
      <c r="Q899" s="110">
        <f>'Detailed Report'!AN895</f>
        <v>0</v>
      </c>
      <c r="R899" s="110">
        <f>'Detailed Report'!AU895/1.14</f>
        <v>25.42982456140351</v>
      </c>
      <c r="S899" s="110">
        <f>'Detailed Report'!AU895-'........... - Otlob'!R899</f>
        <v>3.5601754385964881</v>
      </c>
    </row>
    <row r="900" spans="1:19" x14ac:dyDescent="0.25">
      <c r="A900" s="105">
        <f>+IF(B900="","",SUBTOTAL(3,B$8:B900))</f>
        <v>893</v>
      </c>
      <c r="B900" s="106" t="str">
        <f>'Detailed Report'!O896</f>
        <v>Fuddruckers - Concord Plaza Mall</v>
      </c>
      <c r="C900" s="107">
        <f>TRUNC('Detailed Report'!Q896,0)</f>
        <v>46051</v>
      </c>
      <c r="D900" s="108">
        <f>'Detailed Report'!P896</f>
        <v>3427220519</v>
      </c>
      <c r="E900" s="106" t="str">
        <f>'Detailed Report'!S896</f>
        <v>Successful</v>
      </c>
      <c r="F900" s="109">
        <f>IF(E900=$E$6,('Detailed Report'!Y896),IF(E900=$E$5,(0),0))</f>
        <v>807.98</v>
      </c>
      <c r="G900" s="106">
        <f>IF(E900=$E$6,('Detailed Report'!AQ896),IF(E900=$E$5,('Detailed Report'!AW896),0))</f>
        <v>708.75438999999994</v>
      </c>
      <c r="H900" s="106">
        <f>'Detailed Report'!AS896</f>
        <v>177.18860000000001</v>
      </c>
      <c r="I900" s="106">
        <f>'Detailed Report'!AT896</f>
        <v>24.806404000000001</v>
      </c>
      <c r="J900" s="106">
        <f>'Detailed Report'!AO896</f>
        <v>14.13965</v>
      </c>
      <c r="K900" s="106">
        <f>'Detailed Report'!AP896</f>
        <v>1.9795510000000001</v>
      </c>
      <c r="L900" s="106">
        <f>'Detailed Report'!AU896/1.14</f>
        <v>27.184210526315791</v>
      </c>
      <c r="M900" s="106">
        <f>'Detailed Report'!AU896-L900</f>
        <v>3.8057894736842073</v>
      </c>
      <c r="N900" s="110">
        <f>'Detailed Report'!AW896</f>
        <v>558.87599999999998</v>
      </c>
      <c r="O900" s="111">
        <f t="shared" si="59"/>
        <v>149.87838999999997</v>
      </c>
      <c r="P900" s="110">
        <f>'Detailed Report'!AM896</f>
        <v>0</v>
      </c>
      <c r="Q900" s="110">
        <f>'Detailed Report'!AN896</f>
        <v>0</v>
      </c>
      <c r="R900" s="110">
        <f>'Detailed Report'!AU896/1.14</f>
        <v>27.184210526315791</v>
      </c>
      <c r="S900" s="110">
        <f>'Detailed Report'!AU896-'........... - Otlob'!R900</f>
        <v>3.8057894736842073</v>
      </c>
    </row>
    <row r="901" spans="1:19" x14ac:dyDescent="0.25">
      <c r="A901" s="105">
        <f>+IF(B901="","",SUBTOTAL(3,B$8:B901))</f>
        <v>894</v>
      </c>
      <c r="B901" s="106" t="str">
        <f>'Detailed Report'!O897</f>
        <v>Fuddruckers - New Maadi</v>
      </c>
      <c r="C901" s="107">
        <f>TRUNC('Detailed Report'!Q897,0)</f>
        <v>46051</v>
      </c>
      <c r="D901" s="108">
        <f>'Detailed Report'!P897</f>
        <v>3427221614</v>
      </c>
      <c r="E901" s="106" t="str">
        <f>'Detailed Report'!S897</f>
        <v>Successful</v>
      </c>
      <c r="F901" s="109">
        <f>IF(E901=$E$6,('Detailed Report'!Y897),IF(E901=$E$5,(0),0))</f>
        <v>455.97</v>
      </c>
      <c r="G901" s="106">
        <f>IF(E901=$E$6,('Detailed Report'!AQ897),IF(E901=$E$5,('Detailed Report'!AW897),0))</f>
        <v>399.97368</v>
      </c>
      <c r="H901" s="106">
        <f>'Detailed Report'!AS897</f>
        <v>99.99342</v>
      </c>
      <c r="I901" s="106">
        <f>'Detailed Report'!AT897</f>
        <v>13.999078799999999</v>
      </c>
      <c r="J901" s="106">
        <f>'Detailed Report'!AO897</f>
        <v>7.9794749999999999</v>
      </c>
      <c r="K901" s="106">
        <f>'Detailed Report'!AP897</f>
        <v>1.1171264999999999</v>
      </c>
      <c r="L901" s="106">
        <f>'Detailed Report'!AU897/1.14</f>
        <v>23.67543859649123</v>
      </c>
      <c r="M901" s="106">
        <f>'Detailed Report'!AU897-L901</f>
        <v>3.3145614035087689</v>
      </c>
      <c r="N901" s="110">
        <f>'Detailed Report'!AW897</f>
        <v>305.89100000000002</v>
      </c>
      <c r="O901" s="111">
        <f t="shared" si="59"/>
        <v>94.082679999999982</v>
      </c>
      <c r="P901" s="110">
        <f>'Detailed Report'!AM897</f>
        <v>0</v>
      </c>
      <c r="Q901" s="110">
        <f>'Detailed Report'!AN897</f>
        <v>0</v>
      </c>
      <c r="R901" s="110">
        <f>'Detailed Report'!AU897/1.14</f>
        <v>23.67543859649123</v>
      </c>
      <c r="S901" s="110">
        <f>'Detailed Report'!AU897-'........... - Otlob'!R901</f>
        <v>3.3145614035087689</v>
      </c>
    </row>
    <row r="902" spans="1:19" x14ac:dyDescent="0.25">
      <c r="A902" s="105">
        <f>+IF(B902="","",SUBTOTAL(3,B$8:B902))</f>
        <v>895</v>
      </c>
      <c r="B902" s="106" t="str">
        <f>'Detailed Report'!O898</f>
        <v>Fuddruckers - Concord Plaza Mall</v>
      </c>
      <c r="C902" s="107">
        <f>TRUNC('Detailed Report'!Q898,0)</f>
        <v>46051</v>
      </c>
      <c r="D902" s="108">
        <f>'Detailed Report'!P898</f>
        <v>3427222993</v>
      </c>
      <c r="E902" s="106" t="str">
        <f>'Detailed Report'!S898</f>
        <v>Successful</v>
      </c>
      <c r="F902" s="109">
        <f>IF(E902=$E$6,('Detailed Report'!Y898),IF(E902=$E$5,(0),0))</f>
        <v>353.99</v>
      </c>
      <c r="G902" s="106">
        <f>IF(E902=$E$6,('Detailed Report'!AQ898),IF(E902=$E$5,('Detailed Report'!AW898),0))</f>
        <v>310.51754</v>
      </c>
      <c r="H902" s="106">
        <f>'Detailed Report'!AS898</f>
        <v>77.629390000000001</v>
      </c>
      <c r="I902" s="106">
        <f>'Detailed Report'!AT898</f>
        <v>10.8681146</v>
      </c>
      <c r="J902" s="106">
        <f>'Detailed Report'!AO898</f>
        <v>6.1948249999999998</v>
      </c>
      <c r="K902" s="106">
        <f>'Detailed Report'!AP898</f>
        <v>0.86727549999999998</v>
      </c>
      <c r="L902" s="106">
        <f>'Detailed Report'!AU898/1.14</f>
        <v>0</v>
      </c>
      <c r="M902" s="106">
        <f>'Detailed Report'!AU898-L902</f>
        <v>0</v>
      </c>
      <c r="N902" s="110">
        <f>'Detailed Report'!AW898</f>
        <v>258.43</v>
      </c>
      <c r="O902" s="111">
        <f t="shared" si="59"/>
        <v>52.08753999999999</v>
      </c>
      <c r="P902" s="110">
        <f>'Detailed Report'!AM898</f>
        <v>0</v>
      </c>
      <c r="Q902" s="110">
        <f>'Detailed Report'!AN898</f>
        <v>0</v>
      </c>
      <c r="R902" s="110">
        <f>'Detailed Report'!AU898/1.14</f>
        <v>0</v>
      </c>
      <c r="S902" s="110">
        <f>'Detailed Report'!AU898-'........... - Otlob'!R902</f>
        <v>0</v>
      </c>
    </row>
    <row r="903" spans="1:19" x14ac:dyDescent="0.25">
      <c r="A903" s="105">
        <f>+IF(B903="","",SUBTOTAL(3,B$8:B903))</f>
        <v>896</v>
      </c>
      <c r="B903" s="106" t="str">
        <f>'Detailed Report'!O899</f>
        <v>Fuddruckers - New Maadi</v>
      </c>
      <c r="C903" s="107">
        <f>TRUNC('Detailed Report'!Q899,0)</f>
        <v>46051</v>
      </c>
      <c r="D903" s="108">
        <f>'Detailed Report'!P899</f>
        <v>3427241210</v>
      </c>
      <c r="E903" s="106" t="str">
        <f>'Detailed Report'!S899</f>
        <v>Successful</v>
      </c>
      <c r="F903" s="109">
        <f>IF(E903=$E$6,('Detailed Report'!Y899),IF(E903=$E$5,(0),0))</f>
        <v>634.94000000000005</v>
      </c>
      <c r="G903" s="106">
        <f>IF(E903=$E$6,('Detailed Report'!AQ899),IF(E903=$E$5,('Detailed Report'!AW899),0))</f>
        <v>556.96491000000003</v>
      </c>
      <c r="H903" s="106">
        <f>'Detailed Report'!AS899</f>
        <v>139.24123</v>
      </c>
      <c r="I903" s="106">
        <f>'Detailed Report'!AT899</f>
        <v>19.493772199999999</v>
      </c>
      <c r="J903" s="106">
        <f>'Detailed Report'!AO899</f>
        <v>11.11145</v>
      </c>
      <c r="K903" s="106">
        <f>'Detailed Report'!AP899</f>
        <v>1.5556030000000001</v>
      </c>
      <c r="L903" s="106">
        <f>'Detailed Report'!AU899/1.14</f>
        <v>0</v>
      </c>
      <c r="M903" s="106">
        <f>'Detailed Report'!AU899-L903</f>
        <v>0</v>
      </c>
      <c r="N903" s="110">
        <f>'Detailed Report'!AW899</f>
        <v>463.53800000000001</v>
      </c>
      <c r="O903" s="111">
        <f t="shared" si="59"/>
        <v>93.426910000000021</v>
      </c>
      <c r="P903" s="110">
        <f>'Detailed Report'!AM899</f>
        <v>0</v>
      </c>
      <c r="Q903" s="110">
        <f>'Detailed Report'!AN899</f>
        <v>0</v>
      </c>
      <c r="R903" s="110">
        <f>'Detailed Report'!AU899/1.14</f>
        <v>0</v>
      </c>
      <c r="S903" s="110">
        <f>'Detailed Report'!AU899-'........... - Otlob'!R903</f>
        <v>0</v>
      </c>
    </row>
    <row r="904" spans="1:19" x14ac:dyDescent="0.25">
      <c r="A904" s="105">
        <f>+IF(B904="","",SUBTOTAL(3,B$8:B904))</f>
        <v>897</v>
      </c>
      <c r="B904" s="106" t="str">
        <f>'Detailed Report'!O900</f>
        <v>Fuddruckers - Concord Plaza Mall</v>
      </c>
      <c r="C904" s="107">
        <f>TRUNC('Detailed Report'!Q900,0)</f>
        <v>46051</v>
      </c>
      <c r="D904" s="108">
        <f>'Detailed Report'!P900</f>
        <v>3427255118</v>
      </c>
      <c r="E904" s="106" t="str">
        <f>'Detailed Report'!S900</f>
        <v>Successful</v>
      </c>
      <c r="F904" s="109">
        <f>IF(E904=$E$6,('Detailed Report'!Y900),IF(E904=$E$5,(0),0))</f>
        <v>208.5</v>
      </c>
      <c r="G904" s="106">
        <f>IF(E904=$E$6,('Detailed Report'!AQ900),IF(E904=$E$5,('Detailed Report'!AW900),0))</f>
        <v>182.89474000000001</v>
      </c>
      <c r="H904" s="106">
        <f>'Detailed Report'!AS900</f>
        <v>45.723689999999998</v>
      </c>
      <c r="I904" s="106">
        <f>'Detailed Report'!AT900</f>
        <v>6.4013166000000004</v>
      </c>
      <c r="J904" s="106">
        <f>'Detailed Report'!AO900</f>
        <v>3.6487500000000002</v>
      </c>
      <c r="K904" s="106">
        <f>'Detailed Report'!AP900</f>
        <v>0.51082499999999997</v>
      </c>
      <c r="L904" s="106">
        <f>'Detailed Report'!AU900/1.14</f>
        <v>28.061403508771932</v>
      </c>
      <c r="M904" s="106">
        <f>'Detailed Report'!AU900-L904</f>
        <v>3.9285964912280669</v>
      </c>
      <c r="N904" s="110">
        <f>'Detailed Report'!AW900</f>
        <v>120.22499999999999</v>
      </c>
      <c r="O904" s="111">
        <f t="shared" si="59"/>
        <v>62.669740000000019</v>
      </c>
      <c r="P904" s="110">
        <f>'Detailed Report'!AM900</f>
        <v>0</v>
      </c>
      <c r="Q904" s="110">
        <f>'Detailed Report'!AN900</f>
        <v>0</v>
      </c>
      <c r="R904" s="110">
        <f>'Detailed Report'!AU900/1.14</f>
        <v>28.061403508771932</v>
      </c>
      <c r="S904" s="110">
        <f>'Detailed Report'!AU900-'........... - Otlob'!R904</f>
        <v>3.9285964912280669</v>
      </c>
    </row>
    <row r="905" spans="1:19" x14ac:dyDescent="0.25">
      <c r="A905" s="105">
        <f>+IF(B905="","",SUBTOTAL(3,B$8:B905))</f>
        <v>898</v>
      </c>
      <c r="B905" s="106" t="str">
        <f>'Detailed Report'!O901</f>
        <v>Fuddruckers - Concord Plaza Mall</v>
      </c>
      <c r="C905" s="107">
        <f>TRUNC('Detailed Report'!Q901,0)</f>
        <v>46051</v>
      </c>
      <c r="D905" s="108">
        <f>'Detailed Report'!P901</f>
        <v>3427287713</v>
      </c>
      <c r="E905" s="106" t="str">
        <f>'Detailed Report'!S901</f>
        <v>Successful</v>
      </c>
      <c r="F905" s="109">
        <f>IF(E905=$E$6,('Detailed Report'!Y901),IF(E905=$E$5,(0),0))</f>
        <v>329.99</v>
      </c>
      <c r="G905" s="106">
        <f>IF(E905=$E$6,('Detailed Report'!AQ901),IF(E905=$E$5,('Detailed Report'!AW901),0))</f>
        <v>289.46490999999997</v>
      </c>
      <c r="H905" s="106">
        <f>'Detailed Report'!AS901</f>
        <v>72.366230000000002</v>
      </c>
      <c r="I905" s="106">
        <f>'Detailed Report'!AT901</f>
        <v>10.1312722</v>
      </c>
      <c r="J905" s="106">
        <f>'Detailed Report'!AO901</f>
        <v>5.7748249999999999</v>
      </c>
      <c r="K905" s="106">
        <f>'Detailed Report'!AP901</f>
        <v>0.80847550000000001</v>
      </c>
      <c r="L905" s="106">
        <f>'Detailed Report'!AU901/1.14</f>
        <v>0</v>
      </c>
      <c r="M905" s="106">
        <f>'Detailed Report'!AU901-L905</f>
        <v>0</v>
      </c>
      <c r="N905" s="110">
        <f>'Detailed Report'!AW901</f>
        <v>240.90899999999999</v>
      </c>
      <c r="O905" s="111">
        <f t="shared" ref="O905:O968" si="60">G905-N905</f>
        <v>48.555909999999983</v>
      </c>
      <c r="P905" s="110">
        <f>'Detailed Report'!AM901</f>
        <v>0</v>
      </c>
      <c r="Q905" s="110">
        <f>'Detailed Report'!AN901</f>
        <v>0</v>
      </c>
      <c r="R905" s="110">
        <f>'Detailed Report'!AU901/1.14</f>
        <v>0</v>
      </c>
      <c r="S905" s="110">
        <f>'Detailed Report'!AU901-'........... - Otlob'!R905</f>
        <v>0</v>
      </c>
    </row>
    <row r="906" spans="1:19" x14ac:dyDescent="0.25">
      <c r="A906" s="105">
        <f>+IF(B906="","",SUBTOTAL(3,B$8:B906))</f>
        <v>899</v>
      </c>
      <c r="B906" s="106" t="str">
        <f>'Detailed Report'!O902</f>
        <v>Fuddruckers - Concord Plaza Mall</v>
      </c>
      <c r="C906" s="107">
        <f>TRUNC('Detailed Report'!Q902,0)</f>
        <v>46051</v>
      </c>
      <c r="D906" s="108">
        <f>'Detailed Report'!P902</f>
        <v>3427292472</v>
      </c>
      <c r="E906" s="106" t="str">
        <f>'Detailed Report'!S902</f>
        <v>Successful</v>
      </c>
      <c r="F906" s="109">
        <f>IF(E906=$E$6,('Detailed Report'!Y902),IF(E906=$E$5,(0),0))</f>
        <v>427.82</v>
      </c>
      <c r="G906" s="106">
        <f>IF(E906=$E$6,('Detailed Report'!AQ902),IF(E906=$E$5,('Detailed Report'!AW902),0))</f>
        <v>375.28070000000002</v>
      </c>
      <c r="H906" s="106">
        <f>'Detailed Report'!AS902</f>
        <v>93.820179999999993</v>
      </c>
      <c r="I906" s="106">
        <f>'Detailed Report'!AT902</f>
        <v>13.1348252</v>
      </c>
      <c r="J906" s="106">
        <f>'Detailed Report'!AO902</f>
        <v>7.4868499999999996</v>
      </c>
      <c r="K906" s="106">
        <f>'Detailed Report'!AP902</f>
        <v>1.0481590000000001</v>
      </c>
      <c r="L906" s="106">
        <f>'Detailed Report'!AU902/1.14</f>
        <v>29.815789473684216</v>
      </c>
      <c r="M906" s="106">
        <f>'Detailed Report'!AU902-L906</f>
        <v>4.174210526315786</v>
      </c>
      <c r="N906" s="110">
        <f>'Detailed Report'!AW902</f>
        <v>278.33999999999997</v>
      </c>
      <c r="O906" s="111">
        <f t="shared" si="60"/>
        <v>96.940700000000049</v>
      </c>
      <c r="P906" s="110">
        <f>'Detailed Report'!AM902</f>
        <v>0</v>
      </c>
      <c r="Q906" s="110">
        <f>'Detailed Report'!AN902</f>
        <v>0</v>
      </c>
      <c r="R906" s="110">
        <f>'Detailed Report'!AU902/1.14</f>
        <v>29.815789473684216</v>
      </c>
      <c r="S906" s="110">
        <f>'Detailed Report'!AU902-'........... - Otlob'!R906</f>
        <v>4.174210526315786</v>
      </c>
    </row>
    <row r="907" spans="1:19" x14ac:dyDescent="0.25">
      <c r="A907" s="105">
        <f>+IF(B907="","",SUBTOTAL(3,B$8:B907))</f>
        <v>900</v>
      </c>
      <c r="B907" s="106" t="str">
        <f>'Detailed Report'!O903</f>
        <v>Fuddruckers - New Maadi</v>
      </c>
      <c r="C907" s="107">
        <f>TRUNC('Detailed Report'!Q903,0)</f>
        <v>46051</v>
      </c>
      <c r="D907" s="108">
        <f>'Detailed Report'!P903</f>
        <v>3427328697</v>
      </c>
      <c r="E907" s="106" t="str">
        <f>'Detailed Report'!S903</f>
        <v>Successful</v>
      </c>
      <c r="F907" s="109">
        <f>IF(E907=$E$6,('Detailed Report'!Y903),IF(E907=$E$5,(0),0))</f>
        <v>748.98</v>
      </c>
      <c r="G907" s="106">
        <f>IF(E907=$E$6,('Detailed Report'!AQ903),IF(E907=$E$5,('Detailed Report'!AW903),0))</f>
        <v>657</v>
      </c>
      <c r="H907" s="106">
        <f>'Detailed Report'!AS903</f>
        <v>164.25</v>
      </c>
      <c r="I907" s="106">
        <f>'Detailed Report'!AT903</f>
        <v>22.995000000000001</v>
      </c>
      <c r="J907" s="106">
        <f>'Detailed Report'!AO903</f>
        <v>13.107150000000001</v>
      </c>
      <c r="K907" s="106">
        <f>'Detailed Report'!AP903</f>
        <v>1.8350010000000001</v>
      </c>
      <c r="L907" s="106">
        <f>'Detailed Report'!AU903/1.14</f>
        <v>25.42982456140351</v>
      </c>
      <c r="M907" s="106">
        <f>'Detailed Report'!AU903-L907</f>
        <v>3.5601754385964881</v>
      </c>
      <c r="N907" s="110">
        <f>'Detailed Report'!AW903</f>
        <v>517.803</v>
      </c>
      <c r="O907" s="111">
        <f t="shared" si="60"/>
        <v>139.197</v>
      </c>
      <c r="P907" s="110">
        <f>'Detailed Report'!AM903</f>
        <v>0</v>
      </c>
      <c r="Q907" s="110">
        <f>'Detailed Report'!AN903</f>
        <v>0</v>
      </c>
      <c r="R907" s="110">
        <f>'Detailed Report'!AU903/1.14</f>
        <v>25.42982456140351</v>
      </c>
      <c r="S907" s="110">
        <f>'Detailed Report'!AU903-'........... - Otlob'!R907</f>
        <v>3.5601754385964881</v>
      </c>
    </row>
    <row r="908" spans="1:19" x14ac:dyDescent="0.25">
      <c r="A908" s="105">
        <f>+IF(B908="","",SUBTOTAL(3,B$8:B908))</f>
        <v>901</v>
      </c>
      <c r="B908" s="106" t="str">
        <f>'Detailed Report'!O904</f>
        <v>Fuddruckers - Concord Plaza Mall</v>
      </c>
      <c r="C908" s="107">
        <f>TRUNC('Detailed Report'!Q904,0)</f>
        <v>46051</v>
      </c>
      <c r="D908" s="108">
        <f>'Detailed Report'!P904</f>
        <v>3427330753</v>
      </c>
      <c r="E908" s="106" t="str">
        <f>'Detailed Report'!S904</f>
        <v>Successful</v>
      </c>
      <c r="F908" s="109">
        <f>IF(E908=$E$6,('Detailed Report'!Y904),IF(E908=$E$5,(0),0))</f>
        <v>305.93</v>
      </c>
      <c r="G908" s="106">
        <f>IF(E908=$E$6,('Detailed Report'!AQ904),IF(E908=$E$5,('Detailed Report'!AW904),0))</f>
        <v>268.35964999999999</v>
      </c>
      <c r="H908" s="106">
        <f>'Detailed Report'!AS904</f>
        <v>67.089910000000003</v>
      </c>
      <c r="I908" s="106">
        <f>'Detailed Report'!AT904</f>
        <v>9.3925874</v>
      </c>
      <c r="J908" s="106">
        <f>'Detailed Report'!AO904</f>
        <v>0</v>
      </c>
      <c r="K908" s="106">
        <f>'Detailed Report'!AP904</f>
        <v>0</v>
      </c>
      <c r="L908" s="106">
        <f>'Detailed Report'!AU904/1.14</f>
        <v>28.061403508771932</v>
      </c>
      <c r="M908" s="106">
        <f>'Detailed Report'!AU904-L908</f>
        <v>3.9285964912280669</v>
      </c>
      <c r="N908" s="110">
        <f>'Detailed Report'!AW904</f>
        <v>197.458</v>
      </c>
      <c r="O908" s="111">
        <f t="shared" si="60"/>
        <v>70.901649999999989</v>
      </c>
      <c r="P908" s="110">
        <f>'Detailed Report'!AM904</f>
        <v>0</v>
      </c>
      <c r="Q908" s="110">
        <f>'Detailed Report'!AN904</f>
        <v>0</v>
      </c>
      <c r="R908" s="110">
        <f>'Detailed Report'!AU904/1.14</f>
        <v>28.061403508771932</v>
      </c>
      <c r="S908" s="110">
        <f>'Detailed Report'!AU904-'........... - Otlob'!R908</f>
        <v>3.9285964912280669</v>
      </c>
    </row>
    <row r="909" spans="1:19" x14ac:dyDescent="0.25">
      <c r="A909" s="105">
        <f>+IF(B909="","",SUBTOTAL(3,B$8:B909))</f>
        <v>902</v>
      </c>
      <c r="B909" s="106" t="str">
        <f>'Detailed Report'!O905</f>
        <v>Fuddruckers - Concord Plaza Mall</v>
      </c>
      <c r="C909" s="107">
        <f>TRUNC('Detailed Report'!Q905,0)</f>
        <v>46051</v>
      </c>
      <c r="D909" s="108">
        <f>'Detailed Report'!P905</f>
        <v>3427406549</v>
      </c>
      <c r="E909" s="106" t="str">
        <f>'Detailed Report'!S905</f>
        <v>Successful</v>
      </c>
      <c r="F909" s="109">
        <f>IF(E909=$E$6,('Detailed Report'!Y905),IF(E909=$E$5,(0),0))</f>
        <v>1649.95</v>
      </c>
      <c r="G909" s="106">
        <f>IF(E909=$E$6,('Detailed Report'!AQ905),IF(E909=$E$5,('Detailed Report'!AW905),0))</f>
        <v>1447.32456</v>
      </c>
      <c r="H909" s="106">
        <f>'Detailed Report'!AS905</f>
        <v>361.83114</v>
      </c>
      <c r="I909" s="106">
        <f>'Detailed Report'!AT905</f>
        <v>50.656359600000002</v>
      </c>
      <c r="J909" s="106">
        <f>'Detailed Report'!AO905</f>
        <v>28.874126749999999</v>
      </c>
      <c r="K909" s="106">
        <f>'Detailed Report'!AP905</f>
        <v>4.0423777449999996</v>
      </c>
      <c r="L909" s="106">
        <f>'Detailed Report'!AU905/1.14</f>
        <v>0</v>
      </c>
      <c r="M909" s="106">
        <f>'Detailed Report'!AU905-L909</f>
        <v>0</v>
      </c>
      <c r="N909" s="110">
        <f>'Detailed Report'!AW905</f>
        <v>1204.546</v>
      </c>
      <c r="O909" s="111">
        <f t="shared" si="60"/>
        <v>242.77855999999997</v>
      </c>
      <c r="P909" s="110">
        <f>'Detailed Report'!AM905</f>
        <v>0</v>
      </c>
      <c r="Q909" s="110">
        <f>'Detailed Report'!AN905</f>
        <v>0</v>
      </c>
      <c r="R909" s="110">
        <f>'Detailed Report'!AU905/1.14</f>
        <v>0</v>
      </c>
      <c r="S909" s="110">
        <f>'Detailed Report'!AU905-'........... - Otlob'!R909</f>
        <v>0</v>
      </c>
    </row>
    <row r="910" spans="1:19" x14ac:dyDescent="0.25">
      <c r="A910" s="105">
        <f>+IF(B910="","",SUBTOTAL(3,B$8:B910))</f>
        <v>903</v>
      </c>
      <c r="B910" s="106" t="str">
        <f>'Detailed Report'!O906</f>
        <v>Fuddruckers - New Maadi</v>
      </c>
      <c r="C910" s="107">
        <f>TRUNC('Detailed Report'!Q906,0)</f>
        <v>46052</v>
      </c>
      <c r="D910" s="108">
        <f>'Detailed Report'!P906</f>
        <v>3428154313</v>
      </c>
      <c r="E910" s="106" t="str">
        <f>'Detailed Report'!S906</f>
        <v>Successful</v>
      </c>
      <c r="F910" s="109">
        <f>IF(E910=$E$6,('Detailed Report'!Y906),IF(E910=$E$5,(0),0))</f>
        <v>517.98</v>
      </c>
      <c r="G910" s="106">
        <f>IF(E910=$E$6,('Detailed Report'!AQ906),IF(E910=$E$5,('Detailed Report'!AW906),0))</f>
        <v>454.36842000000001</v>
      </c>
      <c r="H910" s="106">
        <f>'Detailed Report'!AS906</f>
        <v>113.59211000000001</v>
      </c>
      <c r="I910" s="106">
        <f>'Detailed Report'!AT906</f>
        <v>15.9028954</v>
      </c>
      <c r="J910" s="106">
        <f>'Detailed Report'!AO906</f>
        <v>9.0646500000000003</v>
      </c>
      <c r="K910" s="106">
        <f>'Detailed Report'!AP906</f>
        <v>1.2690509999999999</v>
      </c>
      <c r="L910" s="106">
        <f>'Detailed Report'!AU906/1.14</f>
        <v>26.307017543859651</v>
      </c>
      <c r="M910" s="106">
        <f>'Detailed Report'!AU906-L910</f>
        <v>3.6829824561403477</v>
      </c>
      <c r="N910" s="110">
        <f>'Detailed Report'!AW906</f>
        <v>348.161</v>
      </c>
      <c r="O910" s="111">
        <f t="shared" si="60"/>
        <v>106.20742000000001</v>
      </c>
      <c r="P910" s="110">
        <f>'Detailed Report'!AM906</f>
        <v>0</v>
      </c>
      <c r="Q910" s="110">
        <f>'Detailed Report'!AN906</f>
        <v>0</v>
      </c>
      <c r="R910" s="110">
        <f>'Detailed Report'!AU906/1.14</f>
        <v>26.307017543859651</v>
      </c>
      <c r="S910" s="110">
        <f>'Detailed Report'!AU906-'........... - Otlob'!R910</f>
        <v>3.6829824561403477</v>
      </c>
    </row>
    <row r="911" spans="1:19" x14ac:dyDescent="0.25">
      <c r="A911" s="105">
        <f>+IF(B911="","",SUBTOTAL(3,B$8:B911))</f>
        <v>904</v>
      </c>
      <c r="B911" s="106" t="str">
        <f>'Detailed Report'!O907</f>
        <v>Fuddruckers - New Maadi</v>
      </c>
      <c r="C911" s="107">
        <f>TRUNC('Detailed Report'!Q907,0)</f>
        <v>46052</v>
      </c>
      <c r="D911" s="108">
        <f>'Detailed Report'!P907</f>
        <v>3428160745</v>
      </c>
      <c r="E911" s="106" t="str">
        <f>'Detailed Report'!S907</f>
        <v>Successful</v>
      </c>
      <c r="F911" s="109">
        <f>IF(E911=$E$6,('Detailed Report'!Y907),IF(E911=$E$5,(0),0))</f>
        <v>314.14999999999998</v>
      </c>
      <c r="G911" s="106">
        <f>IF(E911=$E$6,('Detailed Report'!AQ907),IF(E911=$E$5,('Detailed Report'!AW907),0))</f>
        <v>661.52632000000006</v>
      </c>
      <c r="H911" s="106">
        <f>'Detailed Report'!AS907</f>
        <v>165.38158000000001</v>
      </c>
      <c r="I911" s="106">
        <f>'Detailed Report'!AT907</f>
        <v>23.1534212</v>
      </c>
      <c r="J911" s="106">
        <f>'Detailed Report'!AO907</f>
        <v>0</v>
      </c>
      <c r="K911" s="106">
        <f>'Detailed Report'!AP907</f>
        <v>0</v>
      </c>
      <c r="L911" s="106">
        <f>'Detailed Report'!AU907/1.14</f>
        <v>26.307017543859651</v>
      </c>
      <c r="M911" s="106">
        <f>'Detailed Report'!AU907-L911</f>
        <v>3.6829824561403477</v>
      </c>
      <c r="N911" s="110">
        <f>'Detailed Report'!AW907</f>
        <v>95.625</v>
      </c>
      <c r="O911" s="111">
        <f t="shared" si="60"/>
        <v>565.90132000000006</v>
      </c>
      <c r="P911" s="110">
        <f>'Detailed Report'!AM907</f>
        <v>0</v>
      </c>
      <c r="Q911" s="110">
        <f>'Detailed Report'!AN907</f>
        <v>0</v>
      </c>
      <c r="R911" s="110">
        <f>'Detailed Report'!AU907/1.14</f>
        <v>26.307017543859651</v>
      </c>
      <c r="S911" s="110">
        <f>'Detailed Report'!AU907-'........... - Otlob'!R911</f>
        <v>3.6829824561403477</v>
      </c>
    </row>
    <row r="912" spans="1:19" x14ac:dyDescent="0.25">
      <c r="A912" s="105">
        <f>+IF(B912="","",SUBTOTAL(3,B$8:B912))</f>
        <v>905</v>
      </c>
      <c r="B912" s="106" t="str">
        <f>'Detailed Report'!O908</f>
        <v>Fuddruckers - Concord Plaza Mall</v>
      </c>
      <c r="C912" s="107">
        <f>TRUNC('Detailed Report'!Q908,0)</f>
        <v>46052</v>
      </c>
      <c r="D912" s="108">
        <f>'Detailed Report'!P908</f>
        <v>3428213433</v>
      </c>
      <c r="E912" s="106" t="str">
        <f>'Detailed Report'!S908</f>
        <v>Successful</v>
      </c>
      <c r="F912" s="109">
        <f>IF(E912=$E$6,('Detailed Report'!Y908),IF(E912=$E$5,(0),0))</f>
        <v>855.99</v>
      </c>
      <c r="G912" s="106">
        <f>IF(E912=$E$6,('Detailed Report'!AQ908),IF(E912=$E$5,('Detailed Report'!AW908),0))</f>
        <v>750.86842000000001</v>
      </c>
      <c r="H912" s="106">
        <f>'Detailed Report'!AS908</f>
        <v>187.71710999999999</v>
      </c>
      <c r="I912" s="106">
        <f>'Detailed Report'!AT908</f>
        <v>26.2803954</v>
      </c>
      <c r="J912" s="106">
        <f>'Detailed Report'!AO908</f>
        <v>0</v>
      </c>
      <c r="K912" s="106">
        <f>'Detailed Report'!AP908</f>
        <v>0</v>
      </c>
      <c r="L912" s="106">
        <f>'Detailed Report'!AU908/1.14</f>
        <v>30.692982456140356</v>
      </c>
      <c r="M912" s="106">
        <f>'Detailed Report'!AU908-L912</f>
        <v>4.2970175438596456</v>
      </c>
      <c r="N912" s="110">
        <f>'Detailed Report'!AW908</f>
        <v>572.80200000000002</v>
      </c>
      <c r="O912" s="111">
        <f t="shared" si="60"/>
        <v>178.06641999999999</v>
      </c>
      <c r="P912" s="110">
        <f>'Detailed Report'!AM908</f>
        <v>30</v>
      </c>
      <c r="Q912" s="110">
        <f>'Detailed Report'!AN908</f>
        <v>4.2</v>
      </c>
      <c r="R912" s="110">
        <f>'Detailed Report'!AU908/1.14</f>
        <v>30.692982456140356</v>
      </c>
      <c r="S912" s="110">
        <f>'Detailed Report'!AU908-'........... - Otlob'!R912</f>
        <v>4.2970175438596456</v>
      </c>
    </row>
    <row r="913" spans="1:19" x14ac:dyDescent="0.25">
      <c r="A913" s="105">
        <f>+IF(B913="","",SUBTOTAL(3,B$8:B913))</f>
        <v>906</v>
      </c>
      <c r="B913" s="106" t="str">
        <f>'Detailed Report'!O909</f>
        <v>Fuddruckers - Concord Plaza Mall</v>
      </c>
      <c r="C913" s="107">
        <f>TRUNC('Detailed Report'!Q909,0)</f>
        <v>46052</v>
      </c>
      <c r="D913" s="108">
        <f>'Detailed Report'!P909</f>
        <v>3428242732</v>
      </c>
      <c r="E913" s="106" t="str">
        <f>'Detailed Report'!S909</f>
        <v>Successful</v>
      </c>
      <c r="F913" s="109">
        <f>IF(E913=$E$6,('Detailed Report'!Y909),IF(E913=$E$5,(0),0))</f>
        <v>1728.94</v>
      </c>
      <c r="G913" s="106">
        <f>IF(E913=$E$6,('Detailed Report'!AQ909),IF(E913=$E$5,('Detailed Report'!AW909),0))</f>
        <v>1516.6140399999999</v>
      </c>
      <c r="H913" s="106">
        <f>'Detailed Report'!AS909</f>
        <v>379.15350999999998</v>
      </c>
      <c r="I913" s="106">
        <f>'Detailed Report'!AT909</f>
        <v>53.081491399999997</v>
      </c>
      <c r="J913" s="106">
        <f>'Detailed Report'!AO909</f>
        <v>30.25645175</v>
      </c>
      <c r="K913" s="106">
        <f>'Detailed Report'!AP909</f>
        <v>4.2359032450000003</v>
      </c>
      <c r="L913" s="106">
        <f>'Detailed Report'!AU909/1.14</f>
        <v>31.570175438596497</v>
      </c>
      <c r="M913" s="106">
        <f>'Detailed Report'!AU909-L913</f>
        <v>4.4198245614035052</v>
      </c>
      <c r="N913" s="110">
        <f>'Detailed Report'!AW909</f>
        <v>1192.0229999999999</v>
      </c>
      <c r="O913" s="111">
        <f t="shared" si="60"/>
        <v>324.59104000000002</v>
      </c>
      <c r="P913" s="110">
        <f>'Detailed Report'!AM909</f>
        <v>30</v>
      </c>
      <c r="Q913" s="110">
        <f>'Detailed Report'!AN909</f>
        <v>4.2</v>
      </c>
      <c r="R913" s="110">
        <f>'Detailed Report'!AU909/1.14</f>
        <v>31.570175438596497</v>
      </c>
      <c r="S913" s="110">
        <f>'Detailed Report'!AU909-'........... - Otlob'!R913</f>
        <v>4.4198245614035052</v>
      </c>
    </row>
    <row r="914" spans="1:19" x14ac:dyDescent="0.25">
      <c r="A914" s="105">
        <f>+IF(B914="","",SUBTOTAL(3,B$8:B914))</f>
        <v>907</v>
      </c>
      <c r="B914" s="106" t="str">
        <f>'Detailed Report'!O910</f>
        <v>Fuddruckers - Concord Plaza Mall</v>
      </c>
      <c r="C914" s="107">
        <f>TRUNC('Detailed Report'!Q910,0)</f>
        <v>46052</v>
      </c>
      <c r="D914" s="108">
        <f>'Detailed Report'!P910</f>
        <v>3428251060</v>
      </c>
      <c r="E914" s="106" t="str">
        <f>'Detailed Report'!S910</f>
        <v>Successful</v>
      </c>
      <c r="F914" s="109">
        <f>IF(E914=$E$6,('Detailed Report'!Y910),IF(E914=$E$5,(0),0))</f>
        <v>643.66</v>
      </c>
      <c r="G914" s="106">
        <f>IF(E914=$E$6,('Detailed Report'!AQ910),IF(E914=$E$5,('Detailed Report'!AW910),0))</f>
        <v>564.61404000000005</v>
      </c>
      <c r="H914" s="106">
        <f>'Detailed Report'!AS910</f>
        <v>141.15351000000001</v>
      </c>
      <c r="I914" s="106">
        <f>'Detailed Report'!AT910</f>
        <v>19.761491400000001</v>
      </c>
      <c r="J914" s="106">
        <f>'Detailed Report'!AO910</f>
        <v>11.264049999999999</v>
      </c>
      <c r="K914" s="106">
        <f>'Detailed Report'!AP910</f>
        <v>1.576967</v>
      </c>
      <c r="L914" s="106">
        <f>'Detailed Report'!AU910/1.14</f>
        <v>29.815789473684216</v>
      </c>
      <c r="M914" s="106">
        <f>'Detailed Report'!AU910-L914</f>
        <v>4.174210526315786</v>
      </c>
      <c r="N914" s="110">
        <f>'Detailed Report'!AW910</f>
        <v>435.91399999999999</v>
      </c>
      <c r="O914" s="111">
        <f t="shared" si="60"/>
        <v>128.70004000000006</v>
      </c>
      <c r="P914" s="110">
        <f>'Detailed Report'!AM910</f>
        <v>0</v>
      </c>
      <c r="Q914" s="110">
        <f>'Detailed Report'!AN910</f>
        <v>0</v>
      </c>
      <c r="R914" s="110">
        <f>'Detailed Report'!AU910/1.14</f>
        <v>29.815789473684216</v>
      </c>
      <c r="S914" s="110">
        <f>'Detailed Report'!AU910-'........... - Otlob'!R914</f>
        <v>4.174210526315786</v>
      </c>
    </row>
    <row r="915" spans="1:19" x14ac:dyDescent="0.25">
      <c r="A915" s="105">
        <f>+IF(B915="","",SUBTOTAL(3,B$8:B915))</f>
        <v>908</v>
      </c>
      <c r="B915" s="106" t="str">
        <f>'Detailed Report'!O911</f>
        <v>Fuddruckers - Concord Plaza Mall</v>
      </c>
      <c r="C915" s="107">
        <f>TRUNC('Detailed Report'!Q911,0)</f>
        <v>46052</v>
      </c>
      <c r="D915" s="108">
        <f>'Detailed Report'!P911</f>
        <v>3428315888</v>
      </c>
      <c r="E915" s="106" t="str">
        <f>'Detailed Report'!S911</f>
        <v>Successful</v>
      </c>
      <c r="F915" s="109">
        <f>IF(E915=$E$6,('Detailed Report'!Y911),IF(E915=$E$5,(0),0))</f>
        <v>453.99</v>
      </c>
      <c r="G915" s="106">
        <f>IF(E915=$E$6,('Detailed Report'!AQ911),IF(E915=$E$5,('Detailed Report'!AW911),0))</f>
        <v>398.23683999999997</v>
      </c>
      <c r="H915" s="106">
        <f>'Detailed Report'!AS911</f>
        <v>99.559209999999993</v>
      </c>
      <c r="I915" s="106">
        <f>'Detailed Report'!AT911</f>
        <v>13.9382894</v>
      </c>
      <c r="J915" s="106">
        <f>'Detailed Report'!AO911</f>
        <v>7.9448249999999998</v>
      </c>
      <c r="K915" s="106">
        <f>'Detailed Report'!AP911</f>
        <v>1.1122755</v>
      </c>
      <c r="L915" s="106">
        <f>'Detailed Report'!AU911/1.14</f>
        <v>28.061403508771932</v>
      </c>
      <c r="M915" s="106">
        <f>'Detailed Report'!AU911-L915</f>
        <v>3.9285964912280669</v>
      </c>
      <c r="N915" s="110">
        <f>'Detailed Report'!AW911</f>
        <v>299.44499999999999</v>
      </c>
      <c r="O915" s="111">
        <f t="shared" si="60"/>
        <v>98.791839999999979</v>
      </c>
      <c r="P915" s="110">
        <f>'Detailed Report'!AM911</f>
        <v>0</v>
      </c>
      <c r="Q915" s="110">
        <f>'Detailed Report'!AN911</f>
        <v>0</v>
      </c>
      <c r="R915" s="110">
        <f>'Detailed Report'!AU911/1.14</f>
        <v>28.061403508771932</v>
      </c>
      <c r="S915" s="110">
        <f>'Detailed Report'!AU911-'........... - Otlob'!R915</f>
        <v>3.9285964912280669</v>
      </c>
    </row>
    <row r="916" spans="1:19" x14ac:dyDescent="0.25">
      <c r="A916" s="105">
        <f>+IF(B916="","",SUBTOTAL(3,B$8:B916))</f>
        <v>909</v>
      </c>
      <c r="B916" s="106" t="str">
        <f>'Detailed Report'!O912</f>
        <v>Fuddruckers - New Maadi</v>
      </c>
      <c r="C916" s="107">
        <f>TRUNC('Detailed Report'!Q912,0)</f>
        <v>46052</v>
      </c>
      <c r="D916" s="108">
        <f>'Detailed Report'!P912</f>
        <v>3428321096</v>
      </c>
      <c r="E916" s="106" t="str">
        <f>'Detailed Report'!S912</f>
        <v>Successful</v>
      </c>
      <c r="F916" s="109">
        <f>IF(E916=$E$6,('Detailed Report'!Y912),IF(E916=$E$5,(0),0))</f>
        <v>487.99</v>
      </c>
      <c r="G916" s="106">
        <f>IF(E916=$E$6,('Detailed Report'!AQ912),IF(E916=$E$5,('Detailed Report'!AW912),0))</f>
        <v>428.06139999999999</v>
      </c>
      <c r="H916" s="106">
        <f>'Detailed Report'!AS912</f>
        <v>107.01535</v>
      </c>
      <c r="I916" s="106">
        <f>'Detailed Report'!AT912</f>
        <v>14.982149</v>
      </c>
      <c r="J916" s="106">
        <f>'Detailed Report'!AO912</f>
        <v>8.5398250000000004</v>
      </c>
      <c r="K916" s="106">
        <f>'Detailed Report'!AP912</f>
        <v>1.1955754999999999</v>
      </c>
      <c r="L916" s="106">
        <f>'Detailed Report'!AU912/1.14</f>
        <v>26.307017543859651</v>
      </c>
      <c r="M916" s="106">
        <f>'Detailed Report'!AU912-L916</f>
        <v>3.6829824561403477</v>
      </c>
      <c r="N916" s="110">
        <f>'Detailed Report'!AW912</f>
        <v>326.267</v>
      </c>
      <c r="O916" s="111">
        <f t="shared" si="60"/>
        <v>101.7944</v>
      </c>
      <c r="P916" s="110">
        <f>'Detailed Report'!AM912</f>
        <v>0</v>
      </c>
      <c r="Q916" s="110">
        <f>'Detailed Report'!AN912</f>
        <v>0</v>
      </c>
      <c r="R916" s="110">
        <f>'Detailed Report'!AU912/1.14</f>
        <v>26.307017543859651</v>
      </c>
      <c r="S916" s="110">
        <f>'Detailed Report'!AU912-'........... - Otlob'!R916</f>
        <v>3.6829824561403477</v>
      </c>
    </row>
    <row r="917" spans="1:19" x14ac:dyDescent="0.25">
      <c r="A917" s="105">
        <f>+IF(B917="","",SUBTOTAL(3,B$8:B917))</f>
        <v>910</v>
      </c>
      <c r="B917" s="106" t="str">
        <f>'Detailed Report'!O913</f>
        <v>Fuddruckers - City Stars</v>
      </c>
      <c r="C917" s="107">
        <f>TRUNC('Detailed Report'!Q913,0)</f>
        <v>46052</v>
      </c>
      <c r="D917" s="108">
        <f>'Detailed Report'!P913</f>
        <v>3428324395</v>
      </c>
      <c r="E917" s="106" t="str">
        <f>'Detailed Report'!S913</f>
        <v>Successful</v>
      </c>
      <c r="F917" s="109">
        <f>IF(E917=$E$6,('Detailed Report'!Y913),IF(E917=$E$5,(0),0))</f>
        <v>352.99</v>
      </c>
      <c r="G917" s="106">
        <f>IF(E917=$E$6,('Detailed Report'!AQ913),IF(E917=$E$5,('Detailed Report'!AW913),0))</f>
        <v>309.64035000000001</v>
      </c>
      <c r="H917" s="106">
        <f>'Detailed Report'!AS913</f>
        <v>77.410089999999997</v>
      </c>
      <c r="I917" s="106">
        <f>'Detailed Report'!AT913</f>
        <v>10.8374126</v>
      </c>
      <c r="J917" s="106">
        <f>'Detailed Report'!AO913</f>
        <v>6.1773249999999997</v>
      </c>
      <c r="K917" s="106">
        <f>'Detailed Report'!AP913</f>
        <v>0.86482550000000002</v>
      </c>
      <c r="L917" s="106">
        <f>'Detailed Report'!AU913/1.14</f>
        <v>0</v>
      </c>
      <c r="M917" s="106">
        <f>'Detailed Report'!AU913-L917</f>
        <v>0</v>
      </c>
      <c r="N917" s="110">
        <f>'Detailed Report'!AW913</f>
        <v>257.7</v>
      </c>
      <c r="O917" s="111">
        <f t="shared" si="60"/>
        <v>51.940350000000024</v>
      </c>
      <c r="P917" s="110">
        <f>'Detailed Report'!AM913</f>
        <v>0</v>
      </c>
      <c r="Q917" s="110">
        <f>'Detailed Report'!AN913</f>
        <v>0</v>
      </c>
      <c r="R917" s="110">
        <f>'Detailed Report'!AU913/1.14</f>
        <v>0</v>
      </c>
      <c r="S917" s="110">
        <f>'Detailed Report'!AU913-'........... - Otlob'!R917</f>
        <v>0</v>
      </c>
    </row>
    <row r="918" spans="1:19" x14ac:dyDescent="0.25">
      <c r="A918" s="105">
        <f>+IF(B918="","",SUBTOTAL(3,B$8:B918))</f>
        <v>911</v>
      </c>
      <c r="B918" s="106" t="str">
        <f>'Detailed Report'!O914</f>
        <v>Fuddruckers - New Maadi</v>
      </c>
      <c r="C918" s="107">
        <f>TRUNC('Detailed Report'!Q914,0)</f>
        <v>46052</v>
      </c>
      <c r="D918" s="108">
        <f>'Detailed Report'!P914</f>
        <v>3428335772</v>
      </c>
      <c r="E918" s="106" t="str">
        <f>'Detailed Report'!S914</f>
        <v>Successful</v>
      </c>
      <c r="F918" s="109">
        <f>IF(E918=$E$6,('Detailed Report'!Y914),IF(E918=$E$5,(0),0))</f>
        <v>581.07000000000005</v>
      </c>
      <c r="G918" s="106">
        <f>IF(E918=$E$6,('Detailed Report'!AQ914),IF(E918=$E$5,('Detailed Report'!AW914),0))</f>
        <v>509.71053000000001</v>
      </c>
      <c r="H918" s="106">
        <f>'Detailed Report'!AS914</f>
        <v>127.42762999999999</v>
      </c>
      <c r="I918" s="106">
        <f>'Detailed Report'!AT914</f>
        <v>17.839868200000002</v>
      </c>
      <c r="J918" s="106">
        <f>'Detailed Report'!AO914</f>
        <v>10.168725</v>
      </c>
      <c r="K918" s="106">
        <f>'Detailed Report'!AP914</f>
        <v>1.4236215000000001</v>
      </c>
      <c r="L918" s="106">
        <f>'Detailed Report'!AU914/1.14</f>
        <v>0</v>
      </c>
      <c r="M918" s="106">
        <f>'Detailed Report'!AU914-L918</f>
        <v>0</v>
      </c>
      <c r="N918" s="110">
        <f>'Detailed Report'!AW914</f>
        <v>390.01</v>
      </c>
      <c r="O918" s="111">
        <f t="shared" si="60"/>
        <v>119.70053000000001</v>
      </c>
      <c r="P918" s="110">
        <f>'Detailed Report'!AM914</f>
        <v>30</v>
      </c>
      <c r="Q918" s="110">
        <f>'Detailed Report'!AN914</f>
        <v>4.2</v>
      </c>
      <c r="R918" s="110">
        <f>'Detailed Report'!AU914/1.14</f>
        <v>0</v>
      </c>
      <c r="S918" s="110">
        <f>'Detailed Report'!AU914-'........... - Otlob'!R918</f>
        <v>0</v>
      </c>
    </row>
    <row r="919" spans="1:19" x14ac:dyDescent="0.25">
      <c r="A919" s="105">
        <f>+IF(B919="","",SUBTOTAL(3,B$8:B919))</f>
        <v>912</v>
      </c>
      <c r="B919" s="106" t="str">
        <f>'Detailed Report'!O915</f>
        <v>Fuddruckers - New Maadi</v>
      </c>
      <c r="C919" s="107">
        <f>TRUNC('Detailed Report'!Q915,0)</f>
        <v>46052</v>
      </c>
      <c r="D919" s="108">
        <f>'Detailed Report'!P915</f>
        <v>3428344116</v>
      </c>
      <c r="E919" s="106" t="str">
        <f>'Detailed Report'!S915</f>
        <v>Successful</v>
      </c>
      <c r="F919" s="109">
        <f>IF(E919=$E$6,('Detailed Report'!Y915),IF(E919=$E$5,(0),0))</f>
        <v>253.99</v>
      </c>
      <c r="G919" s="106">
        <f>IF(E919=$E$6,('Detailed Report'!AQ915),IF(E919=$E$5,('Detailed Report'!AW915),0))</f>
        <v>222.79825</v>
      </c>
      <c r="H919" s="106">
        <f>'Detailed Report'!AS915</f>
        <v>55.699559999999998</v>
      </c>
      <c r="I919" s="106">
        <f>'Detailed Report'!AT915</f>
        <v>7.7979383999999996</v>
      </c>
      <c r="J919" s="106">
        <f>'Detailed Report'!AO915</f>
        <v>4.4448249999999998</v>
      </c>
      <c r="K919" s="106">
        <f>'Detailed Report'!AP915</f>
        <v>0.62227549999999998</v>
      </c>
      <c r="L919" s="106">
        <f>'Detailed Report'!AU915/1.14</f>
        <v>23.67543859649123</v>
      </c>
      <c r="M919" s="106">
        <f>'Detailed Report'!AU915-L919</f>
        <v>3.3145614035087689</v>
      </c>
      <c r="N919" s="110">
        <f>'Detailed Report'!AW915</f>
        <v>158.435</v>
      </c>
      <c r="O919" s="111">
        <f t="shared" si="60"/>
        <v>64.363249999999994</v>
      </c>
      <c r="P919" s="110">
        <f>'Detailed Report'!AM915</f>
        <v>0</v>
      </c>
      <c r="Q919" s="110">
        <f>'Detailed Report'!AN915</f>
        <v>0</v>
      </c>
      <c r="R919" s="110">
        <f>'Detailed Report'!AU915/1.14</f>
        <v>23.67543859649123</v>
      </c>
      <c r="S919" s="110">
        <f>'Detailed Report'!AU915-'........... - Otlob'!R919</f>
        <v>3.3145614035087689</v>
      </c>
    </row>
    <row r="920" spans="1:19" x14ac:dyDescent="0.25">
      <c r="A920" s="105">
        <f>+IF(B920="","",SUBTOTAL(3,B$8:B920))</f>
        <v>913</v>
      </c>
      <c r="B920" s="106" t="str">
        <f>'Detailed Report'!O916</f>
        <v>Fuddruckers - New Maadi</v>
      </c>
      <c r="C920" s="107">
        <f>TRUNC('Detailed Report'!Q916,0)</f>
        <v>46052</v>
      </c>
      <c r="D920" s="108">
        <f>'Detailed Report'!P916</f>
        <v>3428344458</v>
      </c>
      <c r="E920" s="106" t="str">
        <f>'Detailed Report'!S916</f>
        <v>Successful</v>
      </c>
      <c r="F920" s="109">
        <f>IF(E920=$E$6,('Detailed Report'!Y916),IF(E920=$E$5,(0),0))</f>
        <v>811.97</v>
      </c>
      <c r="G920" s="106">
        <f>IF(E920=$E$6,('Detailed Report'!AQ916),IF(E920=$E$5,('Detailed Report'!AW916),0))</f>
        <v>712.25438999999994</v>
      </c>
      <c r="H920" s="106">
        <f>'Detailed Report'!AS916</f>
        <v>178.06360000000001</v>
      </c>
      <c r="I920" s="106">
        <f>'Detailed Report'!AT916</f>
        <v>24.928903999999999</v>
      </c>
      <c r="J920" s="106">
        <f>'Detailed Report'!AO916</f>
        <v>14.209474999999999</v>
      </c>
      <c r="K920" s="106">
        <f>'Detailed Report'!AP916</f>
        <v>1.9893265</v>
      </c>
      <c r="L920" s="106">
        <f>'Detailed Report'!AU916/1.14</f>
        <v>27.184210526315791</v>
      </c>
      <c r="M920" s="106">
        <f>'Detailed Report'!AU916-L920</f>
        <v>3.8057894736842073</v>
      </c>
      <c r="N920" s="110">
        <f>'Detailed Report'!AW916</f>
        <v>561.78899999999999</v>
      </c>
      <c r="O920" s="111">
        <f t="shared" si="60"/>
        <v>150.46538999999996</v>
      </c>
      <c r="P920" s="110">
        <f>'Detailed Report'!AM916</f>
        <v>0</v>
      </c>
      <c r="Q920" s="110">
        <f>'Detailed Report'!AN916</f>
        <v>0</v>
      </c>
      <c r="R920" s="110">
        <f>'Detailed Report'!AU916/1.14</f>
        <v>27.184210526315791</v>
      </c>
      <c r="S920" s="110">
        <f>'Detailed Report'!AU916-'........... - Otlob'!R920</f>
        <v>3.8057894736842073</v>
      </c>
    </row>
    <row r="921" spans="1:19" x14ac:dyDescent="0.25">
      <c r="A921" s="105">
        <f>+IF(B921="","",SUBTOTAL(3,B$8:B921))</f>
        <v>914</v>
      </c>
      <c r="B921" s="106" t="str">
        <f>'Detailed Report'!O917</f>
        <v>Fuddruckers - Concord Plaza Mall</v>
      </c>
      <c r="C921" s="107">
        <f>TRUNC('Detailed Report'!Q917,0)</f>
        <v>46052</v>
      </c>
      <c r="D921" s="108">
        <f>'Detailed Report'!P917</f>
        <v>3428357841</v>
      </c>
      <c r="E921" s="106" t="str">
        <f>'Detailed Report'!S917</f>
        <v>Successful</v>
      </c>
      <c r="F921" s="109">
        <f>IF(E921=$E$6,('Detailed Report'!Y917),IF(E921=$E$5,(0),0))</f>
        <v>1157.98</v>
      </c>
      <c r="G921" s="106">
        <f>IF(E921=$E$6,('Detailed Report'!AQ917),IF(E921=$E$5,('Detailed Report'!AW917),0))</f>
        <v>1015.77193</v>
      </c>
      <c r="H921" s="106">
        <f>'Detailed Report'!AS917</f>
        <v>253.94298000000001</v>
      </c>
      <c r="I921" s="106">
        <f>'Detailed Report'!AT917</f>
        <v>35.552017200000002</v>
      </c>
      <c r="J921" s="106">
        <f>'Detailed Report'!AO917</f>
        <v>20.26465</v>
      </c>
      <c r="K921" s="106">
        <f>'Detailed Report'!AP917</f>
        <v>2.8370510000000002</v>
      </c>
      <c r="L921" s="106">
        <f>'Detailed Report'!AU917/1.14</f>
        <v>28.938596491228076</v>
      </c>
      <c r="M921" s="106">
        <f>'Detailed Report'!AU917-L921</f>
        <v>4.0514035087719265</v>
      </c>
      <c r="N921" s="110">
        <f>'Detailed Report'!AW917</f>
        <v>812.39300000000003</v>
      </c>
      <c r="O921" s="111">
        <f t="shared" si="60"/>
        <v>203.37892999999997</v>
      </c>
      <c r="P921" s="110">
        <f>'Detailed Report'!AM917</f>
        <v>0</v>
      </c>
      <c r="Q921" s="110">
        <f>'Detailed Report'!AN917</f>
        <v>0</v>
      </c>
      <c r="R921" s="110">
        <f>'Detailed Report'!AU917/1.14</f>
        <v>28.938596491228076</v>
      </c>
      <c r="S921" s="110">
        <f>'Detailed Report'!AU917-'........... - Otlob'!R921</f>
        <v>4.0514035087719265</v>
      </c>
    </row>
    <row r="922" spans="1:19" x14ac:dyDescent="0.25">
      <c r="A922" s="105">
        <f>+IF(B922="","",SUBTOTAL(3,B$8:B922))</f>
        <v>915</v>
      </c>
      <c r="B922" s="106" t="str">
        <f>'Detailed Report'!O918</f>
        <v>Fuddruckers - Concord Plaza Mall</v>
      </c>
      <c r="C922" s="107">
        <f>TRUNC('Detailed Report'!Q918,0)</f>
        <v>46052</v>
      </c>
      <c r="D922" s="108">
        <f>'Detailed Report'!P918</f>
        <v>3428368498</v>
      </c>
      <c r="E922" s="106" t="str">
        <f>'Detailed Report'!S918</f>
        <v>Successful</v>
      </c>
      <c r="F922" s="109">
        <f>IF(E922=$E$6,('Detailed Report'!Y918),IF(E922=$E$5,(0),0))</f>
        <v>1957.96</v>
      </c>
      <c r="G922" s="106">
        <f>IF(E922=$E$6,('Detailed Report'!AQ918),IF(E922=$E$5,('Detailed Report'!AW918),0))</f>
        <v>1717.5087699999999</v>
      </c>
      <c r="H922" s="106">
        <f>'Detailed Report'!AS918</f>
        <v>429.37718999999998</v>
      </c>
      <c r="I922" s="106">
        <f>'Detailed Report'!AT918</f>
        <v>60.112806599999999</v>
      </c>
      <c r="J922" s="106">
        <f>'Detailed Report'!AO918</f>
        <v>0</v>
      </c>
      <c r="K922" s="106">
        <f>'Detailed Report'!AP918</f>
        <v>0</v>
      </c>
      <c r="L922" s="106">
        <f>'Detailed Report'!AU918/1.14</f>
        <v>0</v>
      </c>
      <c r="M922" s="106">
        <f>'Detailed Report'!AU918-L922</f>
        <v>0</v>
      </c>
      <c r="N922" s="110">
        <f>'Detailed Report'!AW918</f>
        <v>1468.47</v>
      </c>
      <c r="O922" s="111">
        <f t="shared" si="60"/>
        <v>249.03876999999989</v>
      </c>
      <c r="P922" s="110">
        <f>'Detailed Report'!AM918</f>
        <v>0</v>
      </c>
      <c r="Q922" s="110">
        <f>'Detailed Report'!AN918</f>
        <v>0</v>
      </c>
      <c r="R922" s="110">
        <f>'Detailed Report'!AU918/1.14</f>
        <v>0</v>
      </c>
      <c r="S922" s="110">
        <f>'Detailed Report'!AU918-'........... - Otlob'!R922</f>
        <v>0</v>
      </c>
    </row>
    <row r="923" spans="1:19" x14ac:dyDescent="0.25">
      <c r="A923" s="105">
        <f>+IF(B923="","",SUBTOTAL(3,B$8:B923))</f>
        <v>916</v>
      </c>
      <c r="B923" s="106" t="str">
        <f>'Detailed Report'!O919</f>
        <v>Fuddruckers - New Maadi</v>
      </c>
      <c r="C923" s="107">
        <f>TRUNC('Detailed Report'!Q919,0)</f>
        <v>46052</v>
      </c>
      <c r="D923" s="108">
        <f>'Detailed Report'!P919</f>
        <v>3428370579</v>
      </c>
      <c r="E923" s="106" t="str">
        <f>'Detailed Report'!S919</f>
        <v>Successful</v>
      </c>
      <c r="F923" s="109">
        <f>IF(E923=$E$6,('Detailed Report'!Y919),IF(E923=$E$5,(0),0))</f>
        <v>866.99</v>
      </c>
      <c r="G923" s="106">
        <f>IF(E923=$E$6,('Detailed Report'!AQ919),IF(E923=$E$5,('Detailed Report'!AW919),0))</f>
        <v>760.51754000000005</v>
      </c>
      <c r="H923" s="106">
        <f>'Detailed Report'!AS919</f>
        <v>190.12939</v>
      </c>
      <c r="I923" s="106">
        <f>'Detailed Report'!AT919</f>
        <v>26.618114599999998</v>
      </c>
      <c r="J923" s="106">
        <f>'Detailed Report'!AO919</f>
        <v>15.172325000000001</v>
      </c>
      <c r="K923" s="106">
        <f>'Detailed Report'!AP919</f>
        <v>2.1241254999999999</v>
      </c>
      <c r="L923" s="106">
        <f>'Detailed Report'!AU919/1.14</f>
        <v>25.42982456140351</v>
      </c>
      <c r="M923" s="106">
        <f>'Detailed Report'!AU919-L923</f>
        <v>3.5601754385964881</v>
      </c>
      <c r="N923" s="110">
        <f>'Detailed Report'!AW919</f>
        <v>603.95600000000002</v>
      </c>
      <c r="O923" s="111">
        <f t="shared" si="60"/>
        <v>156.56154000000004</v>
      </c>
      <c r="P923" s="110">
        <f>'Detailed Report'!AM919</f>
        <v>0</v>
      </c>
      <c r="Q923" s="110">
        <f>'Detailed Report'!AN919</f>
        <v>0</v>
      </c>
      <c r="R923" s="110">
        <f>'Detailed Report'!AU919/1.14</f>
        <v>25.42982456140351</v>
      </c>
      <c r="S923" s="110">
        <f>'Detailed Report'!AU919-'........... - Otlob'!R923</f>
        <v>3.5601754385964881</v>
      </c>
    </row>
    <row r="924" spans="1:19" x14ac:dyDescent="0.25">
      <c r="A924" s="105">
        <f>+IF(B924="","",SUBTOTAL(3,B$8:B924))</f>
        <v>917</v>
      </c>
      <c r="B924" s="106" t="str">
        <f>'Detailed Report'!O920</f>
        <v>Fuddruckers - City Stars</v>
      </c>
      <c r="C924" s="107">
        <f>TRUNC('Detailed Report'!Q920,0)</f>
        <v>46052</v>
      </c>
      <c r="D924" s="108">
        <f>'Detailed Report'!P920</f>
        <v>3428399017</v>
      </c>
      <c r="E924" s="106" t="str">
        <f>'Detailed Report'!S920</f>
        <v>Successful</v>
      </c>
      <c r="F924" s="109">
        <f>IF(E924=$E$6,('Detailed Report'!Y920),IF(E924=$E$5,(0),0))</f>
        <v>729.64</v>
      </c>
      <c r="G924" s="106">
        <f>IF(E924=$E$6,('Detailed Report'!AQ920),IF(E924=$E$5,('Detailed Report'!AW920),0))</f>
        <v>640.03508999999997</v>
      </c>
      <c r="H924" s="106">
        <f>'Detailed Report'!AS920</f>
        <v>160.00877</v>
      </c>
      <c r="I924" s="106">
        <f>'Detailed Report'!AT920</f>
        <v>22.401227800000001</v>
      </c>
      <c r="J924" s="106">
        <f>'Detailed Report'!AO920</f>
        <v>12.768700000000001</v>
      </c>
      <c r="K924" s="106">
        <f>'Detailed Report'!AP920</f>
        <v>1.7876179999999999</v>
      </c>
      <c r="L924" s="106">
        <f>'Detailed Report'!AU920/1.14</f>
        <v>0</v>
      </c>
      <c r="M924" s="106">
        <f>'Detailed Report'!AU920-L924</f>
        <v>0</v>
      </c>
      <c r="N924" s="110">
        <f>'Detailed Report'!AW920</f>
        <v>532.67399999999998</v>
      </c>
      <c r="O924" s="111">
        <f t="shared" si="60"/>
        <v>107.36108999999999</v>
      </c>
      <c r="P924" s="110">
        <f>'Detailed Report'!AM920</f>
        <v>0</v>
      </c>
      <c r="Q924" s="110">
        <f>'Detailed Report'!AN920</f>
        <v>0</v>
      </c>
      <c r="R924" s="110">
        <f>'Detailed Report'!AU920/1.14</f>
        <v>0</v>
      </c>
      <c r="S924" s="110">
        <f>'Detailed Report'!AU920-'........... - Otlob'!R924</f>
        <v>0</v>
      </c>
    </row>
    <row r="925" spans="1:19" x14ac:dyDescent="0.25">
      <c r="A925" s="105">
        <f>+IF(B925="","",SUBTOTAL(3,B$8:B925))</f>
        <v>918</v>
      </c>
      <c r="B925" s="106" t="str">
        <f>'Detailed Report'!O921</f>
        <v>Fuddruckers - Concord Plaza Mall</v>
      </c>
      <c r="C925" s="107">
        <f>TRUNC('Detailed Report'!Q921,0)</f>
        <v>46052</v>
      </c>
      <c r="D925" s="108">
        <f>'Detailed Report'!P921</f>
        <v>3428460459</v>
      </c>
      <c r="E925" s="106" t="str">
        <f>'Detailed Report'!S921</f>
        <v>Successful</v>
      </c>
      <c r="F925" s="109">
        <f>IF(E925=$E$6,('Detailed Report'!Y921),IF(E925=$E$5,(0),0))</f>
        <v>523.5</v>
      </c>
      <c r="G925" s="106">
        <f>IF(E925=$E$6,('Detailed Report'!AQ921),IF(E925=$E$5,('Detailed Report'!AW921),0))</f>
        <v>459.21053000000001</v>
      </c>
      <c r="H925" s="106">
        <f>'Detailed Report'!AS921</f>
        <v>114.80262999999999</v>
      </c>
      <c r="I925" s="106">
        <f>'Detailed Report'!AT921</f>
        <v>16.0723682</v>
      </c>
      <c r="J925" s="106">
        <f>'Detailed Report'!AO921</f>
        <v>0</v>
      </c>
      <c r="K925" s="106">
        <f>'Detailed Report'!AP921</f>
        <v>0</v>
      </c>
      <c r="L925" s="106">
        <f>'Detailed Report'!AU921/1.14</f>
        <v>0</v>
      </c>
      <c r="M925" s="106">
        <f>'Detailed Report'!AU921-L925</f>
        <v>0</v>
      </c>
      <c r="N925" s="110">
        <f>'Detailed Report'!AW921</f>
        <v>392.625</v>
      </c>
      <c r="O925" s="111">
        <f t="shared" si="60"/>
        <v>66.585530000000006</v>
      </c>
      <c r="P925" s="110">
        <f>'Detailed Report'!AM921</f>
        <v>0</v>
      </c>
      <c r="Q925" s="110">
        <f>'Detailed Report'!AN921</f>
        <v>0</v>
      </c>
      <c r="R925" s="110">
        <f>'Detailed Report'!AU921/1.14</f>
        <v>0</v>
      </c>
      <c r="S925" s="110">
        <f>'Detailed Report'!AU921-'........... - Otlob'!R925</f>
        <v>0</v>
      </c>
    </row>
    <row r="926" spans="1:19" x14ac:dyDescent="0.25">
      <c r="A926" s="105">
        <f>+IF(B926="","",SUBTOTAL(3,B$8:B926))</f>
        <v>919</v>
      </c>
      <c r="B926" s="106" t="str">
        <f>'Detailed Report'!O922</f>
        <v>Fuddruckers - Concord Plaza Mall</v>
      </c>
      <c r="C926" s="107">
        <f>TRUNC('Detailed Report'!Q922,0)</f>
        <v>46052</v>
      </c>
      <c r="D926" s="108">
        <f>'Detailed Report'!P922</f>
        <v>3428476200</v>
      </c>
      <c r="E926" s="106" t="str">
        <f>'Detailed Report'!S922</f>
        <v>Successful</v>
      </c>
      <c r="F926" s="109">
        <f>IF(E926=$E$6,('Detailed Report'!Y922),IF(E926=$E$5,(0),0))</f>
        <v>579</v>
      </c>
      <c r="G926" s="106">
        <f>IF(E926=$E$6,('Detailed Report'!AQ922),IF(E926=$E$5,('Detailed Report'!AW922),0))</f>
        <v>507.89474000000001</v>
      </c>
      <c r="H926" s="106">
        <f>'Detailed Report'!AS922</f>
        <v>126.97369</v>
      </c>
      <c r="I926" s="106">
        <f>'Detailed Report'!AT922</f>
        <v>17.776316600000001</v>
      </c>
      <c r="J926" s="106">
        <f>'Detailed Report'!AO922</f>
        <v>0</v>
      </c>
      <c r="K926" s="106">
        <f>'Detailed Report'!AP922</f>
        <v>0</v>
      </c>
      <c r="L926" s="106">
        <f>'Detailed Report'!AU922/1.14</f>
        <v>0</v>
      </c>
      <c r="M926" s="106">
        <f>'Detailed Report'!AU922-L926</f>
        <v>0</v>
      </c>
      <c r="N926" s="110">
        <f>'Detailed Report'!AW922</f>
        <v>434.25</v>
      </c>
      <c r="O926" s="111">
        <f t="shared" si="60"/>
        <v>73.644740000000013</v>
      </c>
      <c r="P926" s="110">
        <f>'Detailed Report'!AM922</f>
        <v>0</v>
      </c>
      <c r="Q926" s="110">
        <f>'Detailed Report'!AN922</f>
        <v>0</v>
      </c>
      <c r="R926" s="110">
        <f>'Detailed Report'!AU922/1.14</f>
        <v>0</v>
      </c>
      <c r="S926" s="110">
        <f>'Detailed Report'!AU922-'........... - Otlob'!R926</f>
        <v>0</v>
      </c>
    </row>
    <row r="927" spans="1:19" x14ac:dyDescent="0.25">
      <c r="A927" s="105">
        <f>+IF(B927="","",SUBTOTAL(3,B$8:B927))</f>
        <v>920</v>
      </c>
      <c r="B927" s="106" t="str">
        <f>'Detailed Report'!O923</f>
        <v>Fuddruckers - City Stars</v>
      </c>
      <c r="C927" s="107">
        <f>TRUNC('Detailed Report'!Q923,0)</f>
        <v>46052</v>
      </c>
      <c r="D927" s="108">
        <f>'Detailed Report'!P923</f>
        <v>3428502097</v>
      </c>
      <c r="E927" s="106" t="str">
        <f>'Detailed Report'!S923</f>
        <v>Successful</v>
      </c>
      <c r="F927" s="109">
        <f>IF(E927=$E$6,('Detailed Report'!Y923),IF(E927=$E$5,(0),0))</f>
        <v>275.99</v>
      </c>
      <c r="G927" s="106">
        <f>IF(E927=$E$6,('Detailed Report'!AQ923),IF(E927=$E$5,('Detailed Report'!AW923),0))</f>
        <v>242.09648999999999</v>
      </c>
      <c r="H927" s="106">
        <f>'Detailed Report'!AS923</f>
        <v>60.524120000000003</v>
      </c>
      <c r="I927" s="106">
        <f>'Detailed Report'!AT923</f>
        <v>8.4733768000000005</v>
      </c>
      <c r="J927" s="106">
        <f>'Detailed Report'!AO923</f>
        <v>4.8298249999999996</v>
      </c>
      <c r="K927" s="106">
        <f>'Detailed Report'!AP923</f>
        <v>0.67617550000000004</v>
      </c>
      <c r="L927" s="106">
        <f>'Detailed Report'!AU923/1.14</f>
        <v>25.42982456140351</v>
      </c>
      <c r="M927" s="106">
        <f>'Detailed Report'!AU923-L927</f>
        <v>3.5601754385964881</v>
      </c>
      <c r="N927" s="110">
        <f>'Detailed Report'!AW923</f>
        <v>172.49700000000001</v>
      </c>
      <c r="O927" s="111">
        <f t="shared" si="60"/>
        <v>69.599489999999975</v>
      </c>
      <c r="P927" s="110">
        <f>'Detailed Report'!AM923</f>
        <v>0</v>
      </c>
      <c r="Q927" s="110">
        <f>'Detailed Report'!AN923</f>
        <v>0</v>
      </c>
      <c r="R927" s="110">
        <f>'Detailed Report'!AU923/1.14</f>
        <v>25.42982456140351</v>
      </c>
      <c r="S927" s="110">
        <f>'Detailed Report'!AU923-'........... - Otlob'!R927</f>
        <v>3.5601754385964881</v>
      </c>
    </row>
    <row r="928" spans="1:19" x14ac:dyDescent="0.25">
      <c r="A928" s="105">
        <f>+IF(B928="","",SUBTOTAL(3,B$8:B928))</f>
        <v>921</v>
      </c>
      <c r="B928" s="106" t="str">
        <f>'Detailed Report'!O924</f>
        <v>Fuddruckers - Concord Plaza Mall</v>
      </c>
      <c r="C928" s="107">
        <f>TRUNC('Detailed Report'!Q924,0)</f>
        <v>46052</v>
      </c>
      <c r="D928" s="108">
        <f>'Detailed Report'!P924</f>
        <v>3428531839</v>
      </c>
      <c r="E928" s="106" t="str">
        <f>'Detailed Report'!S924</f>
        <v>Successful</v>
      </c>
      <c r="F928" s="109">
        <f>IF(E928=$E$6,('Detailed Report'!Y924),IF(E928=$E$5,(0),0))</f>
        <v>353.99</v>
      </c>
      <c r="G928" s="106">
        <f>IF(E928=$E$6,('Detailed Report'!AQ924),IF(E928=$E$5,('Detailed Report'!AW924),0))</f>
        <v>310.51754</v>
      </c>
      <c r="H928" s="106">
        <f>'Detailed Report'!AS924</f>
        <v>77.629390000000001</v>
      </c>
      <c r="I928" s="106">
        <f>'Detailed Report'!AT924</f>
        <v>10.8681146</v>
      </c>
      <c r="J928" s="106">
        <f>'Detailed Report'!AO924</f>
        <v>0</v>
      </c>
      <c r="K928" s="106">
        <f>'Detailed Report'!AP924</f>
        <v>0</v>
      </c>
      <c r="L928" s="106">
        <f>'Detailed Report'!AU924/1.14</f>
        <v>0</v>
      </c>
      <c r="M928" s="106">
        <f>'Detailed Report'!AU924-L928</f>
        <v>0</v>
      </c>
      <c r="N928" s="110">
        <f>'Detailed Report'!AW924</f>
        <v>265.49200000000002</v>
      </c>
      <c r="O928" s="111">
        <f t="shared" si="60"/>
        <v>45.025539999999978</v>
      </c>
      <c r="P928" s="110">
        <f>'Detailed Report'!AM924</f>
        <v>0</v>
      </c>
      <c r="Q928" s="110">
        <f>'Detailed Report'!AN924</f>
        <v>0</v>
      </c>
      <c r="R928" s="110">
        <f>'Detailed Report'!AU924/1.14</f>
        <v>0</v>
      </c>
      <c r="S928" s="110">
        <f>'Detailed Report'!AU924-'........... - Otlob'!R928</f>
        <v>0</v>
      </c>
    </row>
    <row r="929" spans="1:19" x14ac:dyDescent="0.25">
      <c r="A929" s="105">
        <f>+IF(B929="","",SUBTOTAL(3,B$8:B929))</f>
        <v>922</v>
      </c>
      <c r="B929" s="106" t="str">
        <f>'Detailed Report'!O925</f>
        <v>Fuddruckers - New Maadi</v>
      </c>
      <c r="C929" s="107">
        <f>TRUNC('Detailed Report'!Q925,0)</f>
        <v>46052</v>
      </c>
      <c r="D929" s="108">
        <f>'Detailed Report'!P925</f>
        <v>3428531907</v>
      </c>
      <c r="E929" s="106" t="str">
        <f>'Detailed Report'!S925</f>
        <v>Successful</v>
      </c>
      <c r="F929" s="109">
        <f>IF(E929=$E$6,('Detailed Report'!Y925),IF(E929=$E$5,(0),0))</f>
        <v>429.99</v>
      </c>
      <c r="G929" s="106">
        <f>IF(E929=$E$6,('Detailed Report'!AQ925),IF(E929=$E$5,('Detailed Report'!AW925),0))</f>
        <v>377.18421000000001</v>
      </c>
      <c r="H929" s="106">
        <f>'Detailed Report'!AS925</f>
        <v>94.296049999999994</v>
      </c>
      <c r="I929" s="106">
        <f>'Detailed Report'!AT925</f>
        <v>13.201447</v>
      </c>
      <c r="J929" s="106">
        <f>'Detailed Report'!AO925</f>
        <v>7.5248249999999999</v>
      </c>
      <c r="K929" s="106">
        <f>'Detailed Report'!AP925</f>
        <v>1.0534755</v>
      </c>
      <c r="L929" s="106">
        <f>'Detailed Report'!AU925/1.14</f>
        <v>26.307017543859651</v>
      </c>
      <c r="M929" s="106">
        <f>'Detailed Report'!AU925-L929</f>
        <v>3.6829824561403477</v>
      </c>
      <c r="N929" s="110">
        <f>'Detailed Report'!AW925</f>
        <v>283.92399999999998</v>
      </c>
      <c r="O929" s="111">
        <f t="shared" si="60"/>
        <v>93.260210000000029</v>
      </c>
      <c r="P929" s="110">
        <f>'Detailed Report'!AM925</f>
        <v>0</v>
      </c>
      <c r="Q929" s="110">
        <f>'Detailed Report'!AN925</f>
        <v>0</v>
      </c>
      <c r="R929" s="110">
        <f>'Detailed Report'!AU925/1.14</f>
        <v>26.307017543859651</v>
      </c>
      <c r="S929" s="110">
        <f>'Detailed Report'!AU925-'........... - Otlob'!R929</f>
        <v>3.6829824561403477</v>
      </c>
    </row>
    <row r="930" spans="1:19" x14ac:dyDescent="0.25">
      <c r="A930" s="105">
        <f>+IF(B930="","",SUBTOTAL(3,B$8:B930))</f>
        <v>923</v>
      </c>
      <c r="B930" s="106" t="str">
        <f>'Detailed Report'!O926</f>
        <v>Fuddruckers - City Stars</v>
      </c>
      <c r="C930" s="107">
        <f>TRUNC('Detailed Report'!Q926,0)</f>
        <v>46052</v>
      </c>
      <c r="D930" s="108">
        <f>'Detailed Report'!P926</f>
        <v>3428546276</v>
      </c>
      <c r="E930" s="106" t="str">
        <f>'Detailed Report'!S926</f>
        <v>Successful</v>
      </c>
      <c r="F930" s="109">
        <f>IF(E930=$E$6,('Detailed Report'!Y926),IF(E930=$E$5,(0),0))</f>
        <v>806.96</v>
      </c>
      <c r="G930" s="106">
        <f>IF(E930=$E$6,('Detailed Report'!AQ926),IF(E930=$E$5,('Detailed Report'!AW926),0))</f>
        <v>707.85964999999999</v>
      </c>
      <c r="H930" s="106">
        <f>'Detailed Report'!AS926</f>
        <v>176.96491</v>
      </c>
      <c r="I930" s="106">
        <f>'Detailed Report'!AT926</f>
        <v>24.7750874</v>
      </c>
      <c r="J930" s="106">
        <f>'Detailed Report'!AO926</f>
        <v>14.1218</v>
      </c>
      <c r="K930" s="106">
        <f>'Detailed Report'!AP926</f>
        <v>1.977052</v>
      </c>
      <c r="L930" s="106">
        <f>'Detailed Report'!AU926/1.14</f>
        <v>0</v>
      </c>
      <c r="M930" s="106">
        <f>'Detailed Report'!AU926-L930</f>
        <v>0</v>
      </c>
      <c r="N930" s="110">
        <f>'Detailed Report'!AW926</f>
        <v>589.12099999999998</v>
      </c>
      <c r="O930" s="111">
        <f t="shared" si="60"/>
        <v>118.73865000000001</v>
      </c>
      <c r="P930" s="110">
        <f>'Detailed Report'!AM926</f>
        <v>0</v>
      </c>
      <c r="Q930" s="110">
        <f>'Detailed Report'!AN926</f>
        <v>0</v>
      </c>
      <c r="R930" s="110">
        <f>'Detailed Report'!AU926/1.14</f>
        <v>0</v>
      </c>
      <c r="S930" s="110">
        <f>'Detailed Report'!AU926-'........... - Otlob'!R930</f>
        <v>0</v>
      </c>
    </row>
    <row r="931" spans="1:19" x14ac:dyDescent="0.25">
      <c r="A931" s="105">
        <f>+IF(B931="","",SUBTOTAL(3,B$8:B931))</f>
        <v>924</v>
      </c>
      <c r="B931" s="106" t="str">
        <f>'Detailed Report'!O927</f>
        <v>Fuddruckers - Concord Plaza Mall</v>
      </c>
      <c r="C931" s="107">
        <f>TRUNC('Detailed Report'!Q927,0)</f>
        <v>46052</v>
      </c>
      <c r="D931" s="108">
        <f>'Detailed Report'!P927</f>
        <v>3428603586</v>
      </c>
      <c r="E931" s="106" t="str">
        <f>'Detailed Report'!S927</f>
        <v>Successful</v>
      </c>
      <c r="F931" s="109">
        <f>IF(E931=$E$6,('Detailed Report'!Y927),IF(E931=$E$5,(0),0))</f>
        <v>767.99</v>
      </c>
      <c r="G931" s="106">
        <f>IF(E931=$E$6,('Detailed Report'!AQ927),IF(E931=$E$5,('Detailed Report'!AW927),0))</f>
        <v>673.67543999999998</v>
      </c>
      <c r="H931" s="106">
        <f>'Detailed Report'!AS927</f>
        <v>168.41886</v>
      </c>
      <c r="I931" s="106">
        <f>'Detailed Report'!AT927</f>
        <v>23.578640400000001</v>
      </c>
      <c r="J931" s="106">
        <f>'Detailed Report'!AO927</f>
        <v>13.439825000000001</v>
      </c>
      <c r="K931" s="106">
        <f>'Detailed Report'!AP927</f>
        <v>1.8815755000000001</v>
      </c>
      <c r="L931" s="106">
        <f>'Detailed Report'!AU927/1.14</f>
        <v>0</v>
      </c>
      <c r="M931" s="106">
        <f>'Detailed Report'!AU927-L931</f>
        <v>0</v>
      </c>
      <c r="N931" s="110">
        <f>'Detailed Report'!AW927</f>
        <v>560.67100000000005</v>
      </c>
      <c r="O931" s="111">
        <f t="shared" si="60"/>
        <v>113.00443999999993</v>
      </c>
      <c r="P931" s="110">
        <f>'Detailed Report'!AM927</f>
        <v>0</v>
      </c>
      <c r="Q931" s="110">
        <f>'Detailed Report'!AN927</f>
        <v>0</v>
      </c>
      <c r="R931" s="110">
        <f>'Detailed Report'!AU927/1.14</f>
        <v>0</v>
      </c>
      <c r="S931" s="110">
        <f>'Detailed Report'!AU927-'........... - Otlob'!R931</f>
        <v>0</v>
      </c>
    </row>
    <row r="932" spans="1:19" x14ac:dyDescent="0.25">
      <c r="A932" s="105">
        <f>+IF(B932="","",SUBTOTAL(3,B$8:B932))</f>
        <v>925</v>
      </c>
      <c r="B932" s="106" t="str">
        <f>'Detailed Report'!O928</f>
        <v>Fuddruckers - Concord Plaza Mall</v>
      </c>
      <c r="C932" s="107">
        <f>TRUNC('Detailed Report'!Q928,0)</f>
        <v>46052</v>
      </c>
      <c r="D932" s="108">
        <f>'Detailed Report'!P928</f>
        <v>3428612846</v>
      </c>
      <c r="E932" s="106" t="str">
        <f>'Detailed Report'!S928</f>
        <v>Successful</v>
      </c>
      <c r="F932" s="109">
        <f>IF(E932=$E$6,('Detailed Report'!Y928),IF(E932=$E$5,(0),0))</f>
        <v>594.98</v>
      </c>
      <c r="G932" s="106">
        <f>IF(E932=$E$6,('Detailed Report'!AQ928),IF(E932=$E$5,('Detailed Report'!AW928),0))</f>
        <v>521.91228000000001</v>
      </c>
      <c r="H932" s="106">
        <f>'Detailed Report'!AS928</f>
        <v>130.47807</v>
      </c>
      <c r="I932" s="106">
        <f>'Detailed Report'!AT928</f>
        <v>18.2669298</v>
      </c>
      <c r="J932" s="106">
        <f>'Detailed Report'!AO928</f>
        <v>10.41215</v>
      </c>
      <c r="K932" s="106">
        <f>'Detailed Report'!AP928</f>
        <v>1.4577009999999999</v>
      </c>
      <c r="L932" s="106">
        <f>'Detailed Report'!AU928/1.14</f>
        <v>28.938596491228076</v>
      </c>
      <c r="M932" s="106">
        <f>'Detailed Report'!AU928-L932</f>
        <v>4.0514035087719265</v>
      </c>
      <c r="N932" s="110">
        <f>'Detailed Report'!AW928</f>
        <v>401.375</v>
      </c>
      <c r="O932" s="111">
        <f t="shared" si="60"/>
        <v>120.53728000000001</v>
      </c>
      <c r="P932" s="110">
        <f>'Detailed Report'!AM928</f>
        <v>0</v>
      </c>
      <c r="Q932" s="110">
        <f>'Detailed Report'!AN928</f>
        <v>0</v>
      </c>
      <c r="R932" s="110">
        <f>'Detailed Report'!AU928/1.14</f>
        <v>28.938596491228076</v>
      </c>
      <c r="S932" s="110">
        <f>'Detailed Report'!AU928-'........... - Otlob'!R932</f>
        <v>4.0514035087719265</v>
      </c>
    </row>
    <row r="933" spans="1:19" x14ac:dyDescent="0.25">
      <c r="A933" s="105">
        <f>+IF(B933="","",SUBTOTAL(3,B$8:B933))</f>
        <v>926</v>
      </c>
      <c r="B933" s="106" t="str">
        <f>'Detailed Report'!O929</f>
        <v>Fuddruckers - Concord Plaza Mall</v>
      </c>
      <c r="C933" s="107">
        <f>TRUNC('Detailed Report'!Q929,0)</f>
        <v>46052</v>
      </c>
      <c r="D933" s="108">
        <f>'Detailed Report'!P929</f>
        <v>3428622201</v>
      </c>
      <c r="E933" s="106" t="str">
        <f>'Detailed Report'!S929</f>
        <v>Successful</v>
      </c>
      <c r="F933" s="109">
        <f>IF(E933=$E$6,('Detailed Report'!Y929),IF(E933=$E$5,(0),0))</f>
        <v>889.94</v>
      </c>
      <c r="G933" s="106">
        <f>IF(E933=$E$6,('Detailed Report'!AQ929),IF(E933=$E$5,('Detailed Report'!AW929),0))</f>
        <v>780.64912000000004</v>
      </c>
      <c r="H933" s="106">
        <f>'Detailed Report'!AS929</f>
        <v>195.16228000000001</v>
      </c>
      <c r="I933" s="106">
        <f>'Detailed Report'!AT929</f>
        <v>27.322719200000002</v>
      </c>
      <c r="J933" s="106">
        <f>'Detailed Report'!AO929</f>
        <v>15.57395</v>
      </c>
      <c r="K933" s="106">
        <f>'Detailed Report'!AP929</f>
        <v>2.1803530000000002</v>
      </c>
      <c r="L933" s="106">
        <f>'Detailed Report'!AU929/1.14</f>
        <v>28.938596491228076</v>
      </c>
      <c r="M933" s="106">
        <f>'Detailed Report'!AU929-L933</f>
        <v>4.0514035087719265</v>
      </c>
      <c r="N933" s="110">
        <f>'Detailed Report'!AW929</f>
        <v>616.71100000000001</v>
      </c>
      <c r="O933" s="111">
        <f t="shared" si="60"/>
        <v>163.93812000000003</v>
      </c>
      <c r="P933" s="110">
        <f>'Detailed Report'!AM929</f>
        <v>0</v>
      </c>
      <c r="Q933" s="110">
        <f>'Detailed Report'!AN929</f>
        <v>0</v>
      </c>
      <c r="R933" s="110">
        <f>'Detailed Report'!AU929/1.14</f>
        <v>28.938596491228076</v>
      </c>
      <c r="S933" s="110">
        <f>'Detailed Report'!AU929-'........... - Otlob'!R933</f>
        <v>4.0514035087719265</v>
      </c>
    </row>
    <row r="934" spans="1:19" x14ac:dyDescent="0.25">
      <c r="A934" s="105">
        <f>+IF(B934="","",SUBTOTAL(3,B$8:B934))</f>
        <v>927</v>
      </c>
      <c r="B934" s="106" t="str">
        <f>'Detailed Report'!O930</f>
        <v>Fuddruckers - New Maadi</v>
      </c>
      <c r="C934" s="107">
        <f>TRUNC('Detailed Report'!Q930,0)</f>
        <v>46052</v>
      </c>
      <c r="D934" s="108">
        <f>'Detailed Report'!P930</f>
        <v>3428664422</v>
      </c>
      <c r="E934" s="106" t="str">
        <f>'Detailed Report'!S930</f>
        <v>Successful</v>
      </c>
      <c r="F934" s="109">
        <f>IF(E934=$E$6,('Detailed Report'!Y930),IF(E934=$E$5,(0),0))</f>
        <v>239.99</v>
      </c>
      <c r="G934" s="106">
        <f>IF(E934=$E$6,('Detailed Report'!AQ930),IF(E934=$E$5,('Detailed Report'!AW930),0))</f>
        <v>210.51754</v>
      </c>
      <c r="H934" s="106">
        <f>'Detailed Report'!AS930</f>
        <v>52.629390000000001</v>
      </c>
      <c r="I934" s="106">
        <f>'Detailed Report'!AT930</f>
        <v>7.3681146000000002</v>
      </c>
      <c r="J934" s="106">
        <f>'Detailed Report'!AO930</f>
        <v>4.1998249999999997</v>
      </c>
      <c r="K934" s="106">
        <f>'Detailed Report'!AP930</f>
        <v>0.58797549999999998</v>
      </c>
      <c r="L934" s="106">
        <f>'Detailed Report'!AU930/1.14</f>
        <v>26.307017543859651</v>
      </c>
      <c r="M934" s="106">
        <f>'Detailed Report'!AU930-L934</f>
        <v>3.6829824561403477</v>
      </c>
      <c r="N934" s="110">
        <f>'Detailed Report'!AW930</f>
        <v>145.215</v>
      </c>
      <c r="O934" s="111">
        <f t="shared" si="60"/>
        <v>65.302539999999993</v>
      </c>
      <c r="P934" s="110">
        <f>'Detailed Report'!AM930</f>
        <v>0</v>
      </c>
      <c r="Q934" s="110">
        <f>'Detailed Report'!AN930</f>
        <v>0</v>
      </c>
      <c r="R934" s="110">
        <f>'Detailed Report'!AU930/1.14</f>
        <v>26.307017543859651</v>
      </c>
      <c r="S934" s="110">
        <f>'Detailed Report'!AU930-'........... - Otlob'!R934</f>
        <v>3.6829824561403477</v>
      </c>
    </row>
    <row r="935" spans="1:19" x14ac:dyDescent="0.25">
      <c r="A935" s="105">
        <f>+IF(B935="","",SUBTOTAL(3,B$8:B935))</f>
        <v>928</v>
      </c>
      <c r="B935" s="106" t="str">
        <f>'Detailed Report'!O931</f>
        <v>Fuddruckers - Concord Plaza Mall</v>
      </c>
      <c r="C935" s="107">
        <f>TRUNC('Detailed Report'!Q931,0)</f>
        <v>46052</v>
      </c>
      <c r="D935" s="108">
        <f>'Detailed Report'!P931</f>
        <v>3428719495</v>
      </c>
      <c r="E935" s="106" t="str">
        <f>'Detailed Report'!S931</f>
        <v>Successful</v>
      </c>
      <c r="F935" s="109">
        <f>IF(E935=$E$6,('Detailed Report'!Y931),IF(E935=$E$5,(0),0))</f>
        <v>353.99</v>
      </c>
      <c r="G935" s="106">
        <f>IF(E935=$E$6,('Detailed Report'!AQ931),IF(E935=$E$5,('Detailed Report'!AW931),0))</f>
        <v>310.51754</v>
      </c>
      <c r="H935" s="106">
        <f>'Detailed Report'!AS931</f>
        <v>77.629390000000001</v>
      </c>
      <c r="I935" s="106">
        <f>'Detailed Report'!AT931</f>
        <v>10.8681146</v>
      </c>
      <c r="J935" s="106">
        <f>'Detailed Report'!AO931</f>
        <v>0</v>
      </c>
      <c r="K935" s="106">
        <f>'Detailed Report'!AP931</f>
        <v>0</v>
      </c>
      <c r="L935" s="106">
        <f>'Detailed Report'!AU931/1.14</f>
        <v>0</v>
      </c>
      <c r="M935" s="106">
        <f>'Detailed Report'!AU931-L935</f>
        <v>0</v>
      </c>
      <c r="N935" s="110">
        <f>'Detailed Report'!AW931</f>
        <v>265.49200000000002</v>
      </c>
      <c r="O935" s="111">
        <f t="shared" si="60"/>
        <v>45.025539999999978</v>
      </c>
      <c r="P935" s="110">
        <f>'Detailed Report'!AM931</f>
        <v>0</v>
      </c>
      <c r="Q935" s="110">
        <f>'Detailed Report'!AN931</f>
        <v>0</v>
      </c>
      <c r="R935" s="110">
        <f>'Detailed Report'!AU931/1.14</f>
        <v>0</v>
      </c>
      <c r="S935" s="110">
        <f>'Detailed Report'!AU931-'........... - Otlob'!R935</f>
        <v>0</v>
      </c>
    </row>
    <row r="936" spans="1:19" x14ac:dyDescent="0.25">
      <c r="A936" s="105">
        <f>+IF(B936="","",SUBTOTAL(3,B$8:B936))</f>
        <v>929</v>
      </c>
      <c r="B936" s="106" t="str">
        <f>'Detailed Report'!O932</f>
        <v>Fuddruckers - Concord Plaza Mall</v>
      </c>
      <c r="C936" s="107">
        <f>TRUNC('Detailed Report'!Q932,0)</f>
        <v>46052</v>
      </c>
      <c r="D936" s="108">
        <f>'Detailed Report'!P932</f>
        <v>3428728135</v>
      </c>
      <c r="E936" s="106" t="str">
        <f>'Detailed Report'!S932</f>
        <v>Successful</v>
      </c>
      <c r="F936" s="109">
        <f>IF(E936=$E$6,('Detailed Report'!Y932),IF(E936=$E$5,(0),0))</f>
        <v>897.99</v>
      </c>
      <c r="G936" s="106">
        <f>IF(E936=$E$6,('Detailed Report'!AQ932),IF(E936=$E$5,('Detailed Report'!AW932),0))</f>
        <v>787.71052999999995</v>
      </c>
      <c r="H936" s="106">
        <f>'Detailed Report'!AS932</f>
        <v>196.92762999999999</v>
      </c>
      <c r="I936" s="106">
        <f>'Detailed Report'!AT932</f>
        <v>27.569868199999998</v>
      </c>
      <c r="J936" s="106">
        <f>'Detailed Report'!AO932</f>
        <v>0</v>
      </c>
      <c r="K936" s="106">
        <f>'Detailed Report'!AP932</f>
        <v>0</v>
      </c>
      <c r="L936" s="106">
        <f>'Detailed Report'!AU932/1.14</f>
        <v>31.570175438596497</v>
      </c>
      <c r="M936" s="106">
        <f>'Detailed Report'!AU932-L936</f>
        <v>4.4198245614035052</v>
      </c>
      <c r="N936" s="110">
        <f>'Detailed Report'!AW932</f>
        <v>603.303</v>
      </c>
      <c r="O936" s="111">
        <f t="shared" si="60"/>
        <v>184.40752999999995</v>
      </c>
      <c r="P936" s="110">
        <f>'Detailed Report'!AM932</f>
        <v>30</v>
      </c>
      <c r="Q936" s="110">
        <f>'Detailed Report'!AN932</f>
        <v>4.2</v>
      </c>
      <c r="R936" s="110">
        <f>'Detailed Report'!AU932/1.14</f>
        <v>31.570175438596497</v>
      </c>
      <c r="S936" s="110">
        <f>'Detailed Report'!AU932-'........... - Otlob'!R936</f>
        <v>4.4198245614035052</v>
      </c>
    </row>
    <row r="937" spans="1:19" x14ac:dyDescent="0.25">
      <c r="A937" s="105">
        <f>+IF(B937="","",SUBTOTAL(3,B$8:B937))</f>
        <v>930</v>
      </c>
      <c r="B937" s="106" t="str">
        <f>'Detailed Report'!O933</f>
        <v>Fuddruckers - City Stars</v>
      </c>
      <c r="C937" s="107">
        <f>TRUNC('Detailed Report'!Q933,0)</f>
        <v>46052</v>
      </c>
      <c r="D937" s="108">
        <f>'Detailed Report'!P933</f>
        <v>3428763357</v>
      </c>
      <c r="E937" s="106" t="str">
        <f>'Detailed Report'!S933</f>
        <v>Successful</v>
      </c>
      <c r="F937" s="109">
        <f>IF(E937=$E$6,('Detailed Report'!Y933),IF(E937=$E$5,(0),0))</f>
        <v>352.99</v>
      </c>
      <c r="G937" s="106">
        <f>IF(E937=$E$6,('Detailed Report'!AQ933),IF(E937=$E$5,('Detailed Report'!AW933),0))</f>
        <v>309.64035000000001</v>
      </c>
      <c r="H937" s="106">
        <f>'Detailed Report'!AS933</f>
        <v>77.410089999999997</v>
      </c>
      <c r="I937" s="106">
        <f>'Detailed Report'!AT933</f>
        <v>10.8374126</v>
      </c>
      <c r="J937" s="106">
        <f>'Detailed Report'!AO933</f>
        <v>0</v>
      </c>
      <c r="K937" s="106">
        <f>'Detailed Report'!AP933</f>
        <v>0</v>
      </c>
      <c r="L937" s="106">
        <f>'Detailed Report'!AU933/1.14</f>
        <v>25.42982456140351</v>
      </c>
      <c r="M937" s="106">
        <f>'Detailed Report'!AU933-L937</f>
        <v>3.5601754385964881</v>
      </c>
      <c r="N937" s="110">
        <f>'Detailed Report'!AW933</f>
        <v>235.75200000000001</v>
      </c>
      <c r="O937" s="111">
        <f t="shared" si="60"/>
        <v>73.888350000000003</v>
      </c>
      <c r="P937" s="110">
        <f>'Detailed Report'!AM933</f>
        <v>0</v>
      </c>
      <c r="Q937" s="110">
        <f>'Detailed Report'!AN933</f>
        <v>0</v>
      </c>
      <c r="R937" s="110">
        <f>'Detailed Report'!AU933/1.14</f>
        <v>25.42982456140351</v>
      </c>
      <c r="S937" s="110">
        <f>'Detailed Report'!AU933-'........... - Otlob'!R937</f>
        <v>3.5601754385964881</v>
      </c>
    </row>
    <row r="938" spans="1:19" x14ac:dyDescent="0.25">
      <c r="A938" s="105">
        <f>+IF(B938="","",SUBTOTAL(3,B$8:B938))</f>
        <v>931</v>
      </c>
      <c r="B938" s="106" t="str">
        <f>'Detailed Report'!O934</f>
        <v>Fuddruckers - New Maadi</v>
      </c>
      <c r="C938" s="107">
        <f>TRUNC('Detailed Report'!Q934,0)</f>
        <v>46052</v>
      </c>
      <c r="D938" s="108">
        <f>'Detailed Report'!P934</f>
        <v>3428785964</v>
      </c>
      <c r="E938" s="106" t="str">
        <f>'Detailed Report'!S934</f>
        <v>Successful</v>
      </c>
      <c r="F938" s="109">
        <f>IF(E938=$E$6,('Detailed Report'!Y934),IF(E938=$E$5,(0),0))</f>
        <v>632.66999999999996</v>
      </c>
      <c r="G938" s="106">
        <f>IF(E938=$E$6,('Detailed Report'!AQ934),IF(E938=$E$5,('Detailed Report'!AW934),0))</f>
        <v>554.97367999999994</v>
      </c>
      <c r="H938" s="106">
        <f>'Detailed Report'!AS934</f>
        <v>138.74341999999999</v>
      </c>
      <c r="I938" s="106">
        <f>'Detailed Report'!AT934</f>
        <v>19.4240788</v>
      </c>
      <c r="J938" s="106">
        <f>'Detailed Report'!AO934</f>
        <v>11.071725000000001</v>
      </c>
      <c r="K938" s="106">
        <f>'Detailed Report'!AP934</f>
        <v>1.5500415000000001</v>
      </c>
      <c r="L938" s="106">
        <f>'Detailed Report'!AU934/1.14</f>
        <v>23.67543859649123</v>
      </c>
      <c r="M938" s="106">
        <f>'Detailed Report'!AU934-L938</f>
        <v>3.3145614035087689</v>
      </c>
      <c r="N938" s="110">
        <f>'Detailed Report'!AW934</f>
        <v>434.89100000000002</v>
      </c>
      <c r="O938" s="111">
        <f t="shared" si="60"/>
        <v>120.08267999999993</v>
      </c>
      <c r="P938" s="110">
        <f>'Detailed Report'!AM934</f>
        <v>0</v>
      </c>
      <c r="Q938" s="110">
        <f>'Detailed Report'!AN934</f>
        <v>0</v>
      </c>
      <c r="R938" s="110">
        <f>'Detailed Report'!AU934/1.14</f>
        <v>23.67543859649123</v>
      </c>
      <c r="S938" s="110">
        <f>'Detailed Report'!AU934-'........... - Otlob'!R938</f>
        <v>3.3145614035087689</v>
      </c>
    </row>
    <row r="939" spans="1:19" x14ac:dyDescent="0.25">
      <c r="A939" s="105">
        <f>+IF(B939="","",SUBTOTAL(3,B$8:B939))</f>
        <v>932</v>
      </c>
      <c r="B939" s="106" t="str">
        <f>'Detailed Report'!O935</f>
        <v>Fuddruckers - New Maadi</v>
      </c>
      <c r="C939" s="107">
        <f>TRUNC('Detailed Report'!Q935,0)</f>
        <v>46052</v>
      </c>
      <c r="D939" s="108">
        <f>'Detailed Report'!P935</f>
        <v>3428818306</v>
      </c>
      <c r="E939" s="106" t="str">
        <f>'Detailed Report'!S935</f>
        <v>Successful</v>
      </c>
      <c r="F939" s="109">
        <f>IF(E939=$E$6,('Detailed Report'!Y935),IF(E939=$E$5,(0),0))</f>
        <v>398.99</v>
      </c>
      <c r="G939" s="106">
        <f>IF(E939=$E$6,('Detailed Report'!AQ935),IF(E939=$E$5,('Detailed Report'!AW935),0))</f>
        <v>349.99122999999997</v>
      </c>
      <c r="H939" s="106">
        <f>'Detailed Report'!AS935</f>
        <v>87.497810000000001</v>
      </c>
      <c r="I939" s="106">
        <f>'Detailed Report'!AT935</f>
        <v>12.2496934</v>
      </c>
      <c r="J939" s="106">
        <f>'Detailed Report'!AO935</f>
        <v>6.9823250000000003</v>
      </c>
      <c r="K939" s="106">
        <f>'Detailed Report'!AP935</f>
        <v>0.97752550000000005</v>
      </c>
      <c r="L939" s="106">
        <f>'Detailed Report'!AU935/1.14</f>
        <v>0</v>
      </c>
      <c r="M939" s="106">
        <f>'Detailed Report'!AU935-L939</f>
        <v>0</v>
      </c>
      <c r="N939" s="110">
        <f>'Detailed Report'!AW935</f>
        <v>291.28300000000002</v>
      </c>
      <c r="O939" s="111">
        <f t="shared" si="60"/>
        <v>58.708229999999958</v>
      </c>
      <c r="P939" s="110">
        <f>'Detailed Report'!AM935</f>
        <v>0</v>
      </c>
      <c r="Q939" s="110">
        <f>'Detailed Report'!AN935</f>
        <v>0</v>
      </c>
      <c r="R939" s="110">
        <f>'Detailed Report'!AU935/1.14</f>
        <v>0</v>
      </c>
      <c r="S939" s="110">
        <f>'Detailed Report'!AU935-'........... - Otlob'!R939</f>
        <v>0</v>
      </c>
    </row>
    <row r="940" spans="1:19" x14ac:dyDescent="0.25">
      <c r="A940" s="105">
        <f>+IF(B940="","",SUBTOTAL(3,B$8:B940))</f>
        <v>933</v>
      </c>
      <c r="B940" s="106" t="str">
        <f>'Detailed Report'!O936</f>
        <v>Fuddruckers - Concord Plaza Mall</v>
      </c>
      <c r="C940" s="107">
        <f>TRUNC('Detailed Report'!Q936,0)</f>
        <v>46052</v>
      </c>
      <c r="D940" s="108">
        <f>'Detailed Report'!P936</f>
        <v>3428894811</v>
      </c>
      <c r="E940" s="106" t="str">
        <f>'Detailed Report'!S936</f>
        <v>Successful</v>
      </c>
      <c r="F940" s="109">
        <f>IF(E940=$E$6,('Detailed Report'!Y936),IF(E940=$E$5,(0),0))</f>
        <v>1100.94</v>
      </c>
      <c r="G940" s="106">
        <f>IF(E940=$E$6,('Detailed Report'!AQ936),IF(E940=$E$5,('Detailed Report'!AW936),0))</f>
        <v>965.73684000000003</v>
      </c>
      <c r="H940" s="106">
        <f>'Detailed Report'!AS936</f>
        <v>241.43421000000001</v>
      </c>
      <c r="I940" s="106">
        <f>'Detailed Report'!AT936</f>
        <v>33.800789399999999</v>
      </c>
      <c r="J940" s="106">
        <f>'Detailed Report'!AO936</f>
        <v>19.266449999999999</v>
      </c>
      <c r="K940" s="106">
        <f>'Detailed Report'!AP936</f>
        <v>2.6973029999999998</v>
      </c>
      <c r="L940" s="106">
        <f>'Detailed Report'!AU936/1.14</f>
        <v>0</v>
      </c>
      <c r="M940" s="106">
        <f>'Detailed Report'!AU936-L940</f>
        <v>0</v>
      </c>
      <c r="N940" s="110">
        <f>'Detailed Report'!AW936</f>
        <v>803.74099999999999</v>
      </c>
      <c r="O940" s="111">
        <f t="shared" si="60"/>
        <v>161.99584000000004</v>
      </c>
      <c r="P940" s="110">
        <f>'Detailed Report'!AM936</f>
        <v>0</v>
      </c>
      <c r="Q940" s="110">
        <f>'Detailed Report'!AN936</f>
        <v>0</v>
      </c>
      <c r="R940" s="110">
        <f>'Detailed Report'!AU936/1.14</f>
        <v>0</v>
      </c>
      <c r="S940" s="110">
        <f>'Detailed Report'!AU936-'........... - Otlob'!R940</f>
        <v>0</v>
      </c>
    </row>
    <row r="941" spans="1:19" x14ac:dyDescent="0.25">
      <c r="A941" s="105">
        <f>+IF(B941="","",SUBTOTAL(3,B$8:B941))</f>
        <v>934</v>
      </c>
      <c r="B941" s="106" t="str">
        <f>'Detailed Report'!O937</f>
        <v>Fuddruckers - New Maadi</v>
      </c>
      <c r="C941" s="107">
        <f>TRUNC('Detailed Report'!Q937,0)</f>
        <v>46052</v>
      </c>
      <c r="D941" s="108">
        <f>'Detailed Report'!P937</f>
        <v>3428964556</v>
      </c>
      <c r="E941" s="106" t="str">
        <f>'Detailed Report'!S937</f>
        <v>Successful</v>
      </c>
      <c r="F941" s="109">
        <f>IF(E941=$E$6,('Detailed Report'!Y937),IF(E941=$E$5,(0),0))</f>
        <v>352</v>
      </c>
      <c r="G941" s="106">
        <f>IF(E941=$E$6,('Detailed Report'!AQ937),IF(E941=$E$5,('Detailed Report'!AW937),0))</f>
        <v>308.77193</v>
      </c>
      <c r="H941" s="106">
        <f>'Detailed Report'!AS937</f>
        <v>77.192980000000006</v>
      </c>
      <c r="I941" s="106">
        <f>'Detailed Report'!AT937</f>
        <v>10.807017200000001</v>
      </c>
      <c r="J941" s="106">
        <f>'Detailed Report'!AO937</f>
        <v>0</v>
      </c>
      <c r="K941" s="106">
        <f>'Detailed Report'!AP937</f>
        <v>0</v>
      </c>
      <c r="L941" s="106">
        <f>'Detailed Report'!AU937/1.14</f>
        <v>26.307017543859651</v>
      </c>
      <c r="M941" s="106">
        <f>'Detailed Report'!AU937-L941</f>
        <v>3.6829824561403477</v>
      </c>
      <c r="N941" s="110">
        <f>'Detailed Report'!AW937</f>
        <v>234.01</v>
      </c>
      <c r="O941" s="111">
        <f t="shared" si="60"/>
        <v>74.761930000000007</v>
      </c>
      <c r="P941" s="110">
        <f>'Detailed Report'!AM937</f>
        <v>0</v>
      </c>
      <c r="Q941" s="110">
        <f>'Detailed Report'!AN937</f>
        <v>0</v>
      </c>
      <c r="R941" s="110">
        <f>'Detailed Report'!AU937/1.14</f>
        <v>26.307017543859651</v>
      </c>
      <c r="S941" s="110">
        <f>'Detailed Report'!AU937-'........... - Otlob'!R941</f>
        <v>3.6829824561403477</v>
      </c>
    </row>
    <row r="942" spans="1:19" x14ac:dyDescent="0.25">
      <c r="A942" s="105">
        <f>+IF(B942="","",SUBTOTAL(3,B$8:B942))</f>
        <v>935</v>
      </c>
      <c r="B942" s="106" t="str">
        <f>'Detailed Report'!O938</f>
        <v>Fuddruckers - Concord Plaza Mall</v>
      </c>
      <c r="C942" s="107">
        <f>TRUNC('Detailed Report'!Q938,0)</f>
        <v>46052</v>
      </c>
      <c r="D942" s="108">
        <f>'Detailed Report'!P938</f>
        <v>3429000705</v>
      </c>
      <c r="E942" s="106" t="str">
        <f>'Detailed Report'!S938</f>
        <v>Successful</v>
      </c>
      <c r="F942" s="109">
        <f>IF(E942=$E$6,('Detailed Report'!Y938),IF(E942=$E$5,(0),0))</f>
        <v>1898.25</v>
      </c>
      <c r="G942" s="106">
        <f>IF(E942=$E$6,('Detailed Report'!AQ938),IF(E942=$E$5,('Detailed Report'!AW938),0))</f>
        <v>1939.5701799999999</v>
      </c>
      <c r="H942" s="106">
        <f>'Detailed Report'!AS938</f>
        <v>484.89255000000003</v>
      </c>
      <c r="I942" s="106">
        <f>'Detailed Report'!AT938</f>
        <v>67.884957</v>
      </c>
      <c r="J942" s="106">
        <f>'Detailed Report'!AO938</f>
        <v>33.376874999999998</v>
      </c>
      <c r="K942" s="106">
        <f>'Detailed Report'!AP938</f>
        <v>4.6727625000000002</v>
      </c>
      <c r="L942" s="106">
        <f>'Detailed Report'!AU938/1.14</f>
        <v>28.061403508771932</v>
      </c>
      <c r="M942" s="106">
        <f>'Detailed Report'!AU938-L942</f>
        <v>3.9285964912280669</v>
      </c>
      <c r="N942" s="110">
        <f>'Detailed Report'!AW938</f>
        <v>1275.433</v>
      </c>
      <c r="O942" s="111">
        <f t="shared" si="60"/>
        <v>664.13717999999994</v>
      </c>
      <c r="P942" s="110">
        <f>'Detailed Report'!AM938</f>
        <v>0</v>
      </c>
      <c r="Q942" s="110">
        <f>'Detailed Report'!AN938</f>
        <v>0</v>
      </c>
      <c r="R942" s="110">
        <f>'Detailed Report'!AU938/1.14</f>
        <v>28.061403508771932</v>
      </c>
      <c r="S942" s="110">
        <f>'Detailed Report'!AU938-'........... - Otlob'!R942</f>
        <v>3.9285964912280669</v>
      </c>
    </row>
    <row r="943" spans="1:19" x14ac:dyDescent="0.25">
      <c r="A943" s="105">
        <f>+IF(B943="","",SUBTOTAL(3,B$8:B943))</f>
        <v>936</v>
      </c>
      <c r="B943" s="106" t="str">
        <f>'Detailed Report'!O939</f>
        <v>Fuddruckers - City Stars</v>
      </c>
      <c r="C943" s="107">
        <f>TRUNC('Detailed Report'!Q939,0)</f>
        <v>46052</v>
      </c>
      <c r="D943" s="108">
        <f>'Detailed Report'!P939</f>
        <v>3429029344</v>
      </c>
      <c r="E943" s="106" t="str">
        <f>'Detailed Report'!S939</f>
        <v>Successful</v>
      </c>
      <c r="F943" s="109">
        <f>IF(E943=$E$6,('Detailed Report'!Y939),IF(E943=$E$5,(0),0))</f>
        <v>258</v>
      </c>
      <c r="G943" s="106">
        <f>IF(E943=$E$6,('Detailed Report'!AQ939),IF(E943=$E$5,('Detailed Report'!AW939),0))</f>
        <v>226.31578999999999</v>
      </c>
      <c r="H943" s="106">
        <f>'Detailed Report'!AS939</f>
        <v>56.578949999999999</v>
      </c>
      <c r="I943" s="106">
        <f>'Detailed Report'!AT939</f>
        <v>7.9210529999999997</v>
      </c>
      <c r="J943" s="106">
        <f>'Detailed Report'!AO939</f>
        <v>4.5149999999999997</v>
      </c>
      <c r="K943" s="106">
        <f>'Detailed Report'!AP939</f>
        <v>0.6321</v>
      </c>
      <c r="L943" s="106">
        <f>'Detailed Report'!AU939/1.14</f>
        <v>24.55263157894737</v>
      </c>
      <c r="M943" s="106">
        <f>'Detailed Report'!AU939-L943</f>
        <v>3.4373684210526285</v>
      </c>
      <c r="N943" s="110">
        <f>'Detailed Report'!AW939</f>
        <v>160.363</v>
      </c>
      <c r="O943" s="111">
        <f t="shared" si="60"/>
        <v>65.952789999999993</v>
      </c>
      <c r="P943" s="110">
        <f>'Detailed Report'!AM939</f>
        <v>0</v>
      </c>
      <c r="Q943" s="110">
        <f>'Detailed Report'!AN939</f>
        <v>0</v>
      </c>
      <c r="R943" s="110">
        <f>'Detailed Report'!AU939/1.14</f>
        <v>24.55263157894737</v>
      </c>
      <c r="S943" s="110">
        <f>'Detailed Report'!AU939-'........... - Otlob'!R943</f>
        <v>3.4373684210526285</v>
      </c>
    </row>
    <row r="944" spans="1:19" x14ac:dyDescent="0.25">
      <c r="A944" s="105">
        <f>+IF(B944="","",SUBTOTAL(3,B$8:B944))</f>
        <v>937</v>
      </c>
      <c r="B944" s="106" t="str">
        <f>'Detailed Report'!O940</f>
        <v>Fuddruckers - Concord Plaza Mall</v>
      </c>
      <c r="C944" s="107">
        <f>TRUNC('Detailed Report'!Q940,0)</f>
        <v>46052</v>
      </c>
      <c r="D944" s="108">
        <f>'Detailed Report'!P940</f>
        <v>3429044136</v>
      </c>
      <c r="E944" s="106" t="str">
        <f>'Detailed Report'!S940</f>
        <v>Successful</v>
      </c>
      <c r="F944" s="109">
        <f>IF(E944=$E$6,('Detailed Report'!Y940),IF(E944=$E$5,(0),0))</f>
        <v>717.98</v>
      </c>
      <c r="G944" s="106">
        <f>IF(E944=$E$6,('Detailed Report'!AQ940),IF(E944=$E$5,('Detailed Report'!AW940),0))</f>
        <v>629.80701999999997</v>
      </c>
      <c r="H944" s="106">
        <f>'Detailed Report'!AS940</f>
        <v>157.45176000000001</v>
      </c>
      <c r="I944" s="106">
        <f>'Detailed Report'!AT940</f>
        <v>22.043246400000001</v>
      </c>
      <c r="J944" s="106">
        <f>'Detailed Report'!AO940</f>
        <v>12.56465</v>
      </c>
      <c r="K944" s="106">
        <f>'Detailed Report'!AP940</f>
        <v>1.7590509999999999</v>
      </c>
      <c r="L944" s="106">
        <f>'Detailed Report'!AU940/1.14</f>
        <v>28.061403508771932</v>
      </c>
      <c r="M944" s="106">
        <f>'Detailed Report'!AU940-L944</f>
        <v>3.9285964912280669</v>
      </c>
      <c r="N944" s="110">
        <f>'Detailed Report'!AW940</f>
        <v>492.17099999999999</v>
      </c>
      <c r="O944" s="111">
        <f t="shared" si="60"/>
        <v>137.63601999999997</v>
      </c>
      <c r="P944" s="110">
        <f>'Detailed Report'!AM940</f>
        <v>0</v>
      </c>
      <c r="Q944" s="110">
        <f>'Detailed Report'!AN940</f>
        <v>0</v>
      </c>
      <c r="R944" s="110">
        <f>'Detailed Report'!AU940/1.14</f>
        <v>28.061403508771932</v>
      </c>
      <c r="S944" s="110">
        <f>'Detailed Report'!AU940-'........... - Otlob'!R944</f>
        <v>3.9285964912280669</v>
      </c>
    </row>
    <row r="945" spans="1:19" x14ac:dyDescent="0.25">
      <c r="A945" s="105">
        <f>+IF(B945="","",SUBTOTAL(3,B$8:B945))</f>
        <v>938</v>
      </c>
      <c r="B945" s="106" t="str">
        <f>'Detailed Report'!O941</f>
        <v>Fuddruckers - Concord Plaza Mall</v>
      </c>
      <c r="C945" s="107">
        <f>TRUNC('Detailed Report'!Q941,0)</f>
        <v>46052</v>
      </c>
      <c r="D945" s="108">
        <f>'Detailed Report'!P941</f>
        <v>3429058237</v>
      </c>
      <c r="E945" s="106" t="str">
        <f>'Detailed Report'!S941</f>
        <v>Successful</v>
      </c>
      <c r="F945" s="109">
        <f>IF(E945=$E$6,('Detailed Report'!Y941),IF(E945=$E$5,(0),0))</f>
        <v>731.65</v>
      </c>
      <c r="G945" s="106">
        <f>IF(E945=$E$6,('Detailed Report'!AQ941),IF(E945=$E$5,('Detailed Report'!AW941),0))</f>
        <v>641.79825000000005</v>
      </c>
      <c r="H945" s="106">
        <f>'Detailed Report'!AS941</f>
        <v>160.44955999999999</v>
      </c>
      <c r="I945" s="106">
        <f>'Detailed Report'!AT941</f>
        <v>22.462938399999999</v>
      </c>
      <c r="J945" s="106">
        <f>'Detailed Report'!AO941</f>
        <v>12.803875</v>
      </c>
      <c r="K945" s="106">
        <f>'Detailed Report'!AP941</f>
        <v>1.7925424999999999</v>
      </c>
      <c r="L945" s="106">
        <f>'Detailed Report'!AU941/1.14</f>
        <v>0</v>
      </c>
      <c r="M945" s="106">
        <f>'Detailed Report'!AU941-L945</f>
        <v>0</v>
      </c>
      <c r="N945" s="110">
        <f>'Detailed Report'!AW941</f>
        <v>499.94099999999997</v>
      </c>
      <c r="O945" s="111">
        <f t="shared" si="60"/>
        <v>141.85725000000008</v>
      </c>
      <c r="P945" s="110">
        <f>'Detailed Report'!AM941</f>
        <v>30</v>
      </c>
      <c r="Q945" s="110">
        <f>'Detailed Report'!AN941</f>
        <v>4.2</v>
      </c>
      <c r="R945" s="110">
        <f>'Detailed Report'!AU941/1.14</f>
        <v>0</v>
      </c>
      <c r="S945" s="110">
        <f>'Detailed Report'!AU941-'........... - Otlob'!R945</f>
        <v>0</v>
      </c>
    </row>
    <row r="946" spans="1:19" x14ac:dyDescent="0.25">
      <c r="A946" s="105">
        <f>+IF(B946="","",SUBTOTAL(3,B$8:B946))</f>
        <v>939</v>
      </c>
      <c r="B946" s="106" t="str">
        <f>'Detailed Report'!O942</f>
        <v>Fuddruckers - New Maadi</v>
      </c>
      <c r="C946" s="107">
        <f>TRUNC('Detailed Report'!Q942,0)</f>
        <v>46052</v>
      </c>
      <c r="D946" s="108">
        <f>'Detailed Report'!P942</f>
        <v>3429136335</v>
      </c>
      <c r="E946" s="106" t="str">
        <f>'Detailed Report'!S942</f>
        <v>Successful</v>
      </c>
      <c r="F946" s="109">
        <f>IF(E946=$E$6,('Detailed Report'!Y942),IF(E946=$E$5,(0),0))</f>
        <v>769.99</v>
      </c>
      <c r="G946" s="106">
        <f>IF(E946=$E$6,('Detailed Report'!AQ942),IF(E946=$E$5,('Detailed Report'!AW942),0))</f>
        <v>675.42981999999995</v>
      </c>
      <c r="H946" s="106">
        <f>'Detailed Report'!AS942</f>
        <v>168.85746</v>
      </c>
      <c r="I946" s="106">
        <f>'Detailed Report'!AT942</f>
        <v>23.640044400000001</v>
      </c>
      <c r="J946" s="106">
        <f>'Detailed Report'!AO942</f>
        <v>13.474824999999999</v>
      </c>
      <c r="K946" s="106">
        <f>'Detailed Report'!AP942</f>
        <v>1.8864755</v>
      </c>
      <c r="L946" s="106">
        <f>'Detailed Report'!AU942/1.14</f>
        <v>26.307017543859651</v>
      </c>
      <c r="M946" s="106">
        <f>'Detailed Report'!AU942-L946</f>
        <v>3.6829824561403477</v>
      </c>
      <c r="N946" s="110">
        <f>'Detailed Report'!AW942</f>
        <v>497.94099999999997</v>
      </c>
      <c r="O946" s="111">
        <f t="shared" si="60"/>
        <v>177.48881999999998</v>
      </c>
      <c r="P946" s="110">
        <f>'Detailed Report'!AM942</f>
        <v>30</v>
      </c>
      <c r="Q946" s="110">
        <f>'Detailed Report'!AN942</f>
        <v>4.2</v>
      </c>
      <c r="R946" s="110">
        <f>'Detailed Report'!AU942/1.14</f>
        <v>26.307017543859651</v>
      </c>
      <c r="S946" s="110">
        <f>'Detailed Report'!AU942-'........... - Otlob'!R946</f>
        <v>3.6829824561403477</v>
      </c>
    </row>
    <row r="947" spans="1:19" x14ac:dyDescent="0.25">
      <c r="A947" s="105">
        <f>+IF(B947="","",SUBTOTAL(3,B$8:B947))</f>
        <v>940</v>
      </c>
      <c r="B947" s="106" t="str">
        <f>'Detailed Report'!O943</f>
        <v>Fuddruckers - New Maadi</v>
      </c>
      <c r="C947" s="107">
        <f>TRUNC('Detailed Report'!Q943,0)</f>
        <v>46052</v>
      </c>
      <c r="D947" s="108">
        <f>'Detailed Report'!P943</f>
        <v>3429280328</v>
      </c>
      <c r="E947" s="106" t="str">
        <f>'Detailed Report'!S943</f>
        <v>Successful</v>
      </c>
      <c r="F947" s="109">
        <f>IF(E947=$E$6,('Detailed Report'!Y943),IF(E947=$E$5,(0),0))</f>
        <v>471.57</v>
      </c>
      <c r="G947" s="106">
        <f>IF(E947=$E$6,('Detailed Report'!AQ943),IF(E947=$E$5,('Detailed Report'!AW943),0))</f>
        <v>413.65789000000001</v>
      </c>
      <c r="H947" s="106">
        <f>'Detailed Report'!AS943</f>
        <v>103.41446999999999</v>
      </c>
      <c r="I947" s="106">
        <f>'Detailed Report'!AT943</f>
        <v>14.478025799999999</v>
      </c>
      <c r="J947" s="106">
        <f>'Detailed Report'!AO943</f>
        <v>8.2524750000000004</v>
      </c>
      <c r="K947" s="106">
        <f>'Detailed Report'!AP943</f>
        <v>1.1553465000000001</v>
      </c>
      <c r="L947" s="106">
        <f>'Detailed Report'!AU943/1.14</f>
        <v>25.42982456140351</v>
      </c>
      <c r="M947" s="106">
        <f>'Detailed Report'!AU943-L947</f>
        <v>3.5601754385964881</v>
      </c>
      <c r="N947" s="110">
        <f>'Detailed Report'!AW943</f>
        <v>315.27999999999997</v>
      </c>
      <c r="O947" s="111">
        <f t="shared" si="60"/>
        <v>98.377890000000036</v>
      </c>
      <c r="P947" s="110">
        <f>'Detailed Report'!AM943</f>
        <v>0</v>
      </c>
      <c r="Q947" s="110">
        <f>'Detailed Report'!AN943</f>
        <v>0</v>
      </c>
      <c r="R947" s="110">
        <f>'Detailed Report'!AU943/1.14</f>
        <v>25.42982456140351</v>
      </c>
      <c r="S947" s="110">
        <f>'Detailed Report'!AU943-'........... - Otlob'!R947</f>
        <v>3.5601754385964881</v>
      </c>
    </row>
    <row r="948" spans="1:19" x14ac:dyDescent="0.25">
      <c r="A948" s="105">
        <f>+IF(B948="","",SUBTOTAL(3,B$8:B948))</f>
        <v>941</v>
      </c>
      <c r="B948" s="106" t="str">
        <f>'Detailed Report'!O944</f>
        <v>Fuddruckers - Concord Plaza Mall</v>
      </c>
      <c r="C948" s="107">
        <f>TRUNC('Detailed Report'!Q944,0)</f>
        <v>46052</v>
      </c>
      <c r="D948" s="108">
        <f>'Detailed Report'!P944</f>
        <v>3429302618</v>
      </c>
      <c r="E948" s="106" t="str">
        <f>'Detailed Report'!S944</f>
        <v>Successful</v>
      </c>
      <c r="F948" s="109">
        <f>IF(E948=$E$6,('Detailed Report'!Y944),IF(E948=$E$5,(0),0))</f>
        <v>753.84</v>
      </c>
      <c r="G948" s="106">
        <f>IF(E948=$E$6,('Detailed Report'!AQ944),IF(E948=$E$5,('Detailed Report'!AW944),0))</f>
        <v>661.26315999999997</v>
      </c>
      <c r="H948" s="106">
        <f>'Detailed Report'!AS944</f>
        <v>165.31578999999999</v>
      </c>
      <c r="I948" s="106">
        <f>'Detailed Report'!AT944</f>
        <v>23.144210600000001</v>
      </c>
      <c r="J948" s="106">
        <f>'Detailed Report'!AO944</f>
        <v>13.1922</v>
      </c>
      <c r="K948" s="106">
        <f>'Detailed Report'!AP944</f>
        <v>1.846908</v>
      </c>
      <c r="L948" s="106">
        <f>'Detailed Report'!AU944/1.14</f>
        <v>28.061403508771932</v>
      </c>
      <c r="M948" s="106">
        <f>'Detailed Report'!AU944-L948</f>
        <v>3.9285964912280669</v>
      </c>
      <c r="N948" s="110">
        <f>'Detailed Report'!AW944</f>
        <v>484.15100000000001</v>
      </c>
      <c r="O948" s="111">
        <f t="shared" si="60"/>
        <v>177.11215999999996</v>
      </c>
      <c r="P948" s="110">
        <f>'Detailed Report'!AM944</f>
        <v>30</v>
      </c>
      <c r="Q948" s="110">
        <f>'Detailed Report'!AN944</f>
        <v>4.2</v>
      </c>
      <c r="R948" s="110">
        <f>'Detailed Report'!AU944/1.14</f>
        <v>28.061403508771932</v>
      </c>
      <c r="S948" s="110">
        <f>'Detailed Report'!AU944-'........... - Otlob'!R948</f>
        <v>3.9285964912280669</v>
      </c>
    </row>
    <row r="949" spans="1:19" x14ac:dyDescent="0.25">
      <c r="A949" s="105">
        <f>+IF(B949="","",SUBTOTAL(3,B$8:B949))</f>
        <v>942</v>
      </c>
      <c r="B949" s="106" t="str">
        <f>'Detailed Report'!O945</f>
        <v>Fuddruckers - New Maadi</v>
      </c>
      <c r="C949" s="107">
        <f>TRUNC('Detailed Report'!Q945,0)</f>
        <v>46052</v>
      </c>
      <c r="D949" s="108">
        <f>'Detailed Report'!P945</f>
        <v>3429313706</v>
      </c>
      <c r="E949" s="106" t="str">
        <f>'Detailed Report'!S945</f>
        <v>Successful</v>
      </c>
      <c r="F949" s="109">
        <f>IF(E949=$E$6,('Detailed Report'!Y945),IF(E949=$E$5,(0),0))</f>
        <v>516.99</v>
      </c>
      <c r="G949" s="106">
        <f>IF(E949=$E$6,('Detailed Report'!AQ945),IF(E949=$E$5,('Detailed Report'!AW945),0))</f>
        <v>453.5</v>
      </c>
      <c r="H949" s="106">
        <f>'Detailed Report'!AS945</f>
        <v>113.375</v>
      </c>
      <c r="I949" s="106">
        <f>'Detailed Report'!AT945</f>
        <v>15.8725</v>
      </c>
      <c r="J949" s="106">
        <f>'Detailed Report'!AO945</f>
        <v>9.0473250000000007</v>
      </c>
      <c r="K949" s="106">
        <f>'Detailed Report'!AP945</f>
        <v>1.2666255</v>
      </c>
      <c r="L949" s="106">
        <f>'Detailed Report'!AU945/1.14</f>
        <v>0</v>
      </c>
      <c r="M949" s="106">
        <f>'Detailed Report'!AU945-L949</f>
        <v>0</v>
      </c>
      <c r="N949" s="110">
        <f>'Detailed Report'!AW945</f>
        <v>377.42899999999997</v>
      </c>
      <c r="O949" s="111">
        <f t="shared" si="60"/>
        <v>76.071000000000026</v>
      </c>
      <c r="P949" s="110">
        <f>'Detailed Report'!AM945</f>
        <v>0</v>
      </c>
      <c r="Q949" s="110">
        <f>'Detailed Report'!AN945</f>
        <v>0</v>
      </c>
      <c r="R949" s="110">
        <f>'Detailed Report'!AU945/1.14</f>
        <v>0</v>
      </c>
      <c r="S949" s="110">
        <f>'Detailed Report'!AU945-'........... - Otlob'!R949</f>
        <v>0</v>
      </c>
    </row>
    <row r="950" spans="1:19" x14ac:dyDescent="0.25">
      <c r="A950" s="105">
        <f>+IF(B950="","",SUBTOTAL(3,B$8:B950))</f>
        <v>943</v>
      </c>
      <c r="B950" s="106" t="str">
        <f>'Detailed Report'!O946</f>
        <v>Fuddruckers - Concord Plaza Mall</v>
      </c>
      <c r="C950" s="107">
        <f>TRUNC('Detailed Report'!Q946,0)</f>
        <v>46052</v>
      </c>
      <c r="D950" s="108">
        <f>'Detailed Report'!P946</f>
        <v>3429378677</v>
      </c>
      <c r="E950" s="106" t="str">
        <f>'Detailed Report'!S946</f>
        <v>Successful</v>
      </c>
      <c r="F950" s="109">
        <f>IF(E950=$E$6,('Detailed Report'!Y946),IF(E950=$E$5,(0),0))</f>
        <v>250</v>
      </c>
      <c r="G950" s="106">
        <f>IF(E950=$E$6,('Detailed Report'!AQ946),IF(E950=$E$5,('Detailed Report'!AW946),0))</f>
        <v>219.29825</v>
      </c>
      <c r="H950" s="106">
        <f>'Detailed Report'!AS946</f>
        <v>54.824559999999998</v>
      </c>
      <c r="I950" s="106">
        <f>'Detailed Report'!AT946</f>
        <v>7.6754384</v>
      </c>
      <c r="J950" s="106">
        <f>'Detailed Report'!AO946</f>
        <v>4.375</v>
      </c>
      <c r="K950" s="106">
        <f>'Detailed Report'!AP946</f>
        <v>0.61250000000000004</v>
      </c>
      <c r="L950" s="106">
        <f>'Detailed Report'!AU946/1.14</f>
        <v>30.692982456140356</v>
      </c>
      <c r="M950" s="106">
        <f>'Detailed Report'!AU946-L950</f>
        <v>4.2970175438596456</v>
      </c>
      <c r="N950" s="110">
        <f>'Detailed Report'!AW946</f>
        <v>147.523</v>
      </c>
      <c r="O950" s="111">
        <f t="shared" si="60"/>
        <v>71.77525</v>
      </c>
      <c r="P950" s="110">
        <f>'Detailed Report'!AM946</f>
        <v>0</v>
      </c>
      <c r="Q950" s="110">
        <f>'Detailed Report'!AN946</f>
        <v>0</v>
      </c>
      <c r="R950" s="110">
        <f>'Detailed Report'!AU946/1.14</f>
        <v>30.692982456140356</v>
      </c>
      <c r="S950" s="110">
        <f>'Detailed Report'!AU946-'........... - Otlob'!R950</f>
        <v>4.2970175438596456</v>
      </c>
    </row>
    <row r="951" spans="1:19" x14ac:dyDescent="0.25">
      <c r="A951" s="105">
        <f>+IF(B951="","",SUBTOTAL(3,B$8:B951))</f>
        <v>944</v>
      </c>
      <c r="B951" s="106" t="str">
        <f>'Detailed Report'!O947</f>
        <v>Fuddruckers - Concord Plaza Mall</v>
      </c>
      <c r="C951" s="107">
        <f>TRUNC('Detailed Report'!Q947,0)</f>
        <v>46052</v>
      </c>
      <c r="D951" s="108">
        <f>'Detailed Report'!P947</f>
        <v>3429392485</v>
      </c>
      <c r="E951" s="106" t="str">
        <f>'Detailed Report'!S947</f>
        <v>Successful</v>
      </c>
      <c r="F951" s="109">
        <f>IF(E951=$E$6,('Detailed Report'!Y947),IF(E951=$E$5,(0),0))</f>
        <v>447.18</v>
      </c>
      <c r="G951" s="106">
        <f>IF(E951=$E$6,('Detailed Report'!AQ947),IF(E951=$E$5,('Detailed Report'!AW947),0))</f>
        <v>392.26316000000003</v>
      </c>
      <c r="H951" s="106">
        <f>'Detailed Report'!AS947</f>
        <v>98.065790000000007</v>
      </c>
      <c r="I951" s="106">
        <f>'Detailed Report'!AT947</f>
        <v>13.7292106</v>
      </c>
      <c r="J951" s="106">
        <f>'Detailed Report'!AO947</f>
        <v>0</v>
      </c>
      <c r="K951" s="106">
        <f>'Detailed Report'!AP947</f>
        <v>0</v>
      </c>
      <c r="L951" s="106">
        <f>'Detailed Report'!AU947/1.14</f>
        <v>0</v>
      </c>
      <c r="M951" s="106">
        <f>'Detailed Report'!AU947-L951</f>
        <v>0</v>
      </c>
      <c r="N951" s="110">
        <f>'Detailed Report'!AW947</f>
        <v>335.38499999999999</v>
      </c>
      <c r="O951" s="111">
        <f t="shared" si="60"/>
        <v>56.878160000000037</v>
      </c>
      <c r="P951" s="110">
        <f>'Detailed Report'!AM947</f>
        <v>0</v>
      </c>
      <c r="Q951" s="110">
        <f>'Detailed Report'!AN947</f>
        <v>0</v>
      </c>
      <c r="R951" s="110">
        <f>'Detailed Report'!AU947/1.14</f>
        <v>0</v>
      </c>
      <c r="S951" s="110">
        <f>'Detailed Report'!AU947-'........... - Otlob'!R951</f>
        <v>0</v>
      </c>
    </row>
    <row r="952" spans="1:19" x14ac:dyDescent="0.25">
      <c r="A952" s="105">
        <f>+IF(B952="","",SUBTOTAL(3,B$8:B952))</f>
        <v>945</v>
      </c>
      <c r="B952" s="106" t="str">
        <f>'Detailed Report'!O948</f>
        <v>Fuddruckers - New Maadi</v>
      </c>
      <c r="C952" s="107">
        <f>TRUNC('Detailed Report'!Q948,0)</f>
        <v>46053</v>
      </c>
      <c r="D952" s="108">
        <f>'Detailed Report'!P948</f>
        <v>3430078964</v>
      </c>
      <c r="E952" s="106" t="str">
        <f>'Detailed Report'!S948</f>
        <v>Successful</v>
      </c>
      <c r="F952" s="109">
        <f>IF(E952=$E$6,('Detailed Report'!Y948),IF(E952=$E$5,(0),0))</f>
        <v>411.99</v>
      </c>
      <c r="G952" s="106">
        <f>IF(E952=$E$6,('Detailed Report'!AQ948),IF(E952=$E$5,('Detailed Report'!AW948),0))</f>
        <v>361.39474000000001</v>
      </c>
      <c r="H952" s="106">
        <f>'Detailed Report'!AS948</f>
        <v>90.348690000000005</v>
      </c>
      <c r="I952" s="106">
        <f>'Detailed Report'!AT948</f>
        <v>12.6488166</v>
      </c>
      <c r="J952" s="106">
        <f>'Detailed Report'!AO948</f>
        <v>7.2098250000000004</v>
      </c>
      <c r="K952" s="106">
        <f>'Detailed Report'!AP948</f>
        <v>1.0093755</v>
      </c>
      <c r="L952" s="106">
        <f>'Detailed Report'!AU948/1.14</f>
        <v>26.307017543859651</v>
      </c>
      <c r="M952" s="106">
        <f>'Detailed Report'!AU948-L952</f>
        <v>3.6829824561403477</v>
      </c>
      <c r="N952" s="110">
        <f>'Detailed Report'!AW948</f>
        <v>270.78300000000002</v>
      </c>
      <c r="O952" s="111">
        <f t="shared" si="60"/>
        <v>90.611739999999998</v>
      </c>
      <c r="P952" s="110">
        <f>'Detailed Report'!AM948</f>
        <v>0</v>
      </c>
      <c r="Q952" s="110">
        <f>'Detailed Report'!AN948</f>
        <v>0</v>
      </c>
      <c r="R952" s="110">
        <f>'Detailed Report'!AU948/1.14</f>
        <v>26.307017543859651</v>
      </c>
      <c r="S952" s="110">
        <f>'Detailed Report'!AU948-'........... - Otlob'!R952</f>
        <v>3.6829824561403477</v>
      </c>
    </row>
    <row r="953" spans="1:19" x14ac:dyDescent="0.25">
      <c r="A953" s="105">
        <f>+IF(B953="","",SUBTOTAL(3,B$8:B953))</f>
        <v>946</v>
      </c>
      <c r="B953" s="106" t="str">
        <f>'Detailed Report'!O949</f>
        <v>Fuddruckers - Concord Plaza Mall</v>
      </c>
      <c r="C953" s="107">
        <f>TRUNC('Detailed Report'!Q949,0)</f>
        <v>46053</v>
      </c>
      <c r="D953" s="108">
        <f>'Detailed Report'!P949</f>
        <v>3430108736</v>
      </c>
      <c r="E953" s="106" t="str">
        <f>'Detailed Report'!S949</f>
        <v>Successful</v>
      </c>
      <c r="F953" s="109">
        <f>IF(E953=$E$6,('Detailed Report'!Y949),IF(E953=$E$5,(0),0))</f>
        <v>516.98</v>
      </c>
      <c r="G953" s="106">
        <f>IF(E953=$E$6,('Detailed Report'!AQ949),IF(E953=$E$5,('Detailed Report'!AW949),0))</f>
        <v>453.49122999999997</v>
      </c>
      <c r="H953" s="106">
        <f>'Detailed Report'!AS949</f>
        <v>113.37281</v>
      </c>
      <c r="I953" s="106">
        <f>'Detailed Report'!AT949</f>
        <v>15.8721934</v>
      </c>
      <c r="J953" s="106">
        <f>'Detailed Report'!AO949</f>
        <v>9.0471500000000002</v>
      </c>
      <c r="K953" s="106">
        <f>'Detailed Report'!AP949</f>
        <v>1.2666010000000001</v>
      </c>
      <c r="L953" s="106">
        <f>'Detailed Report'!AU949/1.14</f>
        <v>29.815789473684216</v>
      </c>
      <c r="M953" s="106">
        <f>'Detailed Report'!AU949-L953</f>
        <v>4.174210526315786</v>
      </c>
      <c r="N953" s="110">
        <f>'Detailed Report'!AW949</f>
        <v>343.43099999999998</v>
      </c>
      <c r="O953" s="111">
        <f t="shared" si="60"/>
        <v>110.06022999999999</v>
      </c>
      <c r="P953" s="110">
        <f>'Detailed Report'!AM949</f>
        <v>0</v>
      </c>
      <c r="Q953" s="110">
        <f>'Detailed Report'!AN949</f>
        <v>0</v>
      </c>
      <c r="R953" s="110">
        <f>'Detailed Report'!AU949/1.14</f>
        <v>29.815789473684216</v>
      </c>
      <c r="S953" s="110">
        <f>'Detailed Report'!AU949-'........... - Otlob'!R953</f>
        <v>4.174210526315786</v>
      </c>
    </row>
    <row r="954" spans="1:19" x14ac:dyDescent="0.25">
      <c r="A954" s="105">
        <f>+IF(B954="","",SUBTOTAL(3,B$8:B954))</f>
        <v>947</v>
      </c>
      <c r="B954" s="106" t="str">
        <f>'Detailed Report'!O950</f>
        <v>Fuddruckers - City Stars</v>
      </c>
      <c r="C954" s="107">
        <f>TRUNC('Detailed Report'!Q950,0)</f>
        <v>46053</v>
      </c>
      <c r="D954" s="108">
        <f>'Detailed Report'!P950</f>
        <v>3430163196</v>
      </c>
      <c r="E954" s="106" t="str">
        <f>'Detailed Report'!S950</f>
        <v>Successful</v>
      </c>
      <c r="F954" s="109">
        <f>IF(E954=$E$6,('Detailed Report'!Y950),IF(E954=$E$5,(0),0))</f>
        <v>418.99</v>
      </c>
      <c r="G954" s="106">
        <f>IF(E954=$E$6,('Detailed Report'!AQ950),IF(E954=$E$5,('Detailed Report'!AW950),0))</f>
        <v>367.53509000000003</v>
      </c>
      <c r="H954" s="106">
        <f>'Detailed Report'!AS950</f>
        <v>91.883769999999998</v>
      </c>
      <c r="I954" s="106">
        <f>'Detailed Report'!AT950</f>
        <v>12.863727799999999</v>
      </c>
      <c r="J954" s="106">
        <f>'Detailed Report'!AO950</f>
        <v>7.332325</v>
      </c>
      <c r="K954" s="106">
        <f>'Detailed Report'!AP950</f>
        <v>1.0265255</v>
      </c>
      <c r="L954" s="106">
        <f>'Detailed Report'!AU950/1.14</f>
        <v>25.42982456140351</v>
      </c>
      <c r="M954" s="106">
        <f>'Detailed Report'!AU950-L954</f>
        <v>3.5601754385964881</v>
      </c>
      <c r="N954" s="110">
        <f>'Detailed Report'!AW950</f>
        <v>276.89400000000001</v>
      </c>
      <c r="O954" s="111">
        <f t="shared" si="60"/>
        <v>90.64109000000002</v>
      </c>
      <c r="P954" s="110">
        <f>'Detailed Report'!AM950</f>
        <v>0</v>
      </c>
      <c r="Q954" s="110">
        <f>'Detailed Report'!AN950</f>
        <v>0</v>
      </c>
      <c r="R954" s="110">
        <f>'Detailed Report'!AU950/1.14</f>
        <v>25.42982456140351</v>
      </c>
      <c r="S954" s="110">
        <f>'Detailed Report'!AU950-'........... - Otlob'!R954</f>
        <v>3.5601754385964881</v>
      </c>
    </row>
    <row r="955" spans="1:19" x14ac:dyDescent="0.25">
      <c r="A955" s="105">
        <f>+IF(B955="","",SUBTOTAL(3,B$8:B955))</f>
        <v>948</v>
      </c>
      <c r="B955" s="106" t="str">
        <f>'Detailed Report'!O951</f>
        <v>Fuddruckers - Concord Plaza Mall</v>
      </c>
      <c r="C955" s="107">
        <f>TRUNC('Detailed Report'!Q951,0)</f>
        <v>46053</v>
      </c>
      <c r="D955" s="108">
        <f>'Detailed Report'!P951</f>
        <v>3430215136</v>
      </c>
      <c r="E955" s="106" t="str">
        <f>'Detailed Report'!S951</f>
        <v>Successful</v>
      </c>
      <c r="F955" s="109">
        <f>IF(E955=$E$6,('Detailed Report'!Y951),IF(E955=$E$5,(0),0))</f>
        <v>275.99</v>
      </c>
      <c r="G955" s="106">
        <f>IF(E955=$E$6,('Detailed Report'!AQ951),IF(E955=$E$5,('Detailed Report'!AW951),0))</f>
        <v>242.09648999999999</v>
      </c>
      <c r="H955" s="106">
        <f>'Detailed Report'!AS951</f>
        <v>60.524120000000003</v>
      </c>
      <c r="I955" s="106">
        <f>'Detailed Report'!AT951</f>
        <v>8.4733768000000005</v>
      </c>
      <c r="J955" s="106">
        <f>'Detailed Report'!AO951</f>
        <v>4.8298249999999996</v>
      </c>
      <c r="K955" s="106">
        <f>'Detailed Report'!AP951</f>
        <v>0.67617550000000004</v>
      </c>
      <c r="L955" s="106">
        <f>'Detailed Report'!AU951/1.14</f>
        <v>28.061403508771932</v>
      </c>
      <c r="M955" s="106">
        <f>'Detailed Report'!AU951-L955</f>
        <v>3.9285964912280669</v>
      </c>
      <c r="N955" s="110">
        <f>'Detailed Report'!AW951</f>
        <v>169.49700000000001</v>
      </c>
      <c r="O955" s="111">
        <f t="shared" si="60"/>
        <v>72.599489999999975</v>
      </c>
      <c r="P955" s="110">
        <f>'Detailed Report'!AM951</f>
        <v>0</v>
      </c>
      <c r="Q955" s="110">
        <f>'Detailed Report'!AN951</f>
        <v>0</v>
      </c>
      <c r="R955" s="110">
        <f>'Detailed Report'!AU951/1.14</f>
        <v>28.061403508771932</v>
      </c>
      <c r="S955" s="110">
        <f>'Detailed Report'!AU951-'........... - Otlob'!R955</f>
        <v>3.9285964912280669</v>
      </c>
    </row>
    <row r="956" spans="1:19" x14ac:dyDescent="0.25">
      <c r="A956" s="105">
        <f>+IF(B956="","",SUBTOTAL(3,B$8:B956))</f>
        <v>949</v>
      </c>
      <c r="B956" s="106" t="str">
        <f>'Detailed Report'!O952</f>
        <v>Fuddruckers - Concord Plaza Mall</v>
      </c>
      <c r="C956" s="107">
        <f>TRUNC('Detailed Report'!Q952,0)</f>
        <v>46053</v>
      </c>
      <c r="D956" s="108">
        <f>'Detailed Report'!P952</f>
        <v>3430225271</v>
      </c>
      <c r="E956" s="106" t="str">
        <f>'Detailed Report'!S952</f>
        <v>Successful</v>
      </c>
      <c r="F956" s="109">
        <f>IF(E956=$E$6,('Detailed Report'!Y952),IF(E956=$E$5,(0),0))</f>
        <v>708.99</v>
      </c>
      <c r="G956" s="106">
        <f>IF(E956=$E$6,('Detailed Report'!AQ952),IF(E956=$E$5,('Detailed Report'!AW952),0))</f>
        <v>621.92105000000004</v>
      </c>
      <c r="H956" s="106">
        <f>'Detailed Report'!AS952</f>
        <v>155.48025999999999</v>
      </c>
      <c r="I956" s="106">
        <f>'Detailed Report'!AT952</f>
        <v>21.767236400000002</v>
      </c>
      <c r="J956" s="106">
        <f>'Detailed Report'!AO952</f>
        <v>12.407325</v>
      </c>
      <c r="K956" s="106">
        <f>'Detailed Report'!AP952</f>
        <v>1.7370254999999999</v>
      </c>
      <c r="L956" s="106">
        <f>'Detailed Report'!AU952/1.14</f>
        <v>31.570175438596497</v>
      </c>
      <c r="M956" s="106">
        <f>'Detailed Report'!AU952-L956</f>
        <v>4.4198245614035052</v>
      </c>
      <c r="N956" s="110">
        <f>'Detailed Report'!AW952</f>
        <v>481.608</v>
      </c>
      <c r="O956" s="111">
        <f t="shared" si="60"/>
        <v>140.31305000000003</v>
      </c>
      <c r="P956" s="110">
        <f>'Detailed Report'!AM952</f>
        <v>0</v>
      </c>
      <c r="Q956" s="110">
        <f>'Detailed Report'!AN952</f>
        <v>0</v>
      </c>
      <c r="R956" s="110">
        <f>'Detailed Report'!AU952/1.14</f>
        <v>31.570175438596497</v>
      </c>
      <c r="S956" s="110">
        <f>'Detailed Report'!AU952-'........... - Otlob'!R956</f>
        <v>4.4198245614035052</v>
      </c>
    </row>
    <row r="957" spans="1:19" x14ac:dyDescent="0.25">
      <c r="A957" s="105">
        <f>+IF(B957="","",SUBTOTAL(3,B$8:B957))</f>
        <v>950</v>
      </c>
      <c r="B957" s="106" t="str">
        <f>'Detailed Report'!O953</f>
        <v>Fuddruckers - Concord Plaza Mall</v>
      </c>
      <c r="C957" s="107">
        <f>TRUNC('Detailed Report'!Q953,0)</f>
        <v>46053</v>
      </c>
      <c r="D957" s="108">
        <f>'Detailed Report'!P953</f>
        <v>3430233178</v>
      </c>
      <c r="E957" s="106" t="str">
        <f>'Detailed Report'!S953</f>
        <v>Successful</v>
      </c>
      <c r="F957" s="109">
        <f>IF(E957=$E$6,('Detailed Report'!Y953),IF(E957=$E$5,(0),0))</f>
        <v>884.97</v>
      </c>
      <c r="G957" s="106">
        <f>IF(E957=$E$6,('Detailed Report'!AQ953),IF(E957=$E$5,('Detailed Report'!AW953),0))</f>
        <v>776.28947000000005</v>
      </c>
      <c r="H957" s="106">
        <f>'Detailed Report'!AS953</f>
        <v>194.07237000000001</v>
      </c>
      <c r="I957" s="106">
        <f>'Detailed Report'!AT953</f>
        <v>27.1701318</v>
      </c>
      <c r="J957" s="106">
        <f>'Detailed Report'!AO953</f>
        <v>15.486974999999999</v>
      </c>
      <c r="K957" s="106">
        <f>'Detailed Report'!AP953</f>
        <v>2.1681765</v>
      </c>
      <c r="L957" s="106">
        <f>'Detailed Report'!AU953/1.14</f>
        <v>31.570175438596497</v>
      </c>
      <c r="M957" s="106">
        <f>'Detailed Report'!AU953-L957</f>
        <v>4.4198245614035052</v>
      </c>
      <c r="N957" s="110">
        <f>'Detailed Report'!AW953</f>
        <v>610.08199999999999</v>
      </c>
      <c r="O957" s="111">
        <f t="shared" si="60"/>
        <v>166.20747000000006</v>
      </c>
      <c r="P957" s="110">
        <f>'Detailed Report'!AM953</f>
        <v>0</v>
      </c>
      <c r="Q957" s="110">
        <f>'Detailed Report'!AN953</f>
        <v>0</v>
      </c>
      <c r="R957" s="110">
        <f>'Detailed Report'!AU953/1.14</f>
        <v>31.570175438596497</v>
      </c>
      <c r="S957" s="110">
        <f>'Detailed Report'!AU953-'........... - Otlob'!R957</f>
        <v>4.4198245614035052</v>
      </c>
    </row>
    <row r="958" spans="1:19" x14ac:dyDescent="0.25">
      <c r="A958" s="105">
        <f>+IF(B958="","",SUBTOTAL(3,B$8:B958))</f>
        <v>951</v>
      </c>
      <c r="B958" s="106" t="str">
        <f>'Detailed Report'!O954</f>
        <v>Fuddruckers - Concord Plaza Mall</v>
      </c>
      <c r="C958" s="107">
        <f>TRUNC('Detailed Report'!Q954,0)</f>
        <v>46053</v>
      </c>
      <c r="D958" s="108">
        <f>'Detailed Report'!P954</f>
        <v>3430266575</v>
      </c>
      <c r="E958" s="106" t="str">
        <f>'Detailed Report'!S954</f>
        <v>Successful</v>
      </c>
      <c r="F958" s="109">
        <f>IF(E958=$E$6,('Detailed Report'!Y954),IF(E958=$E$5,(0),0))</f>
        <v>863.17</v>
      </c>
      <c r="G958" s="106">
        <f>IF(E958=$E$6,('Detailed Report'!AQ954),IF(E958=$E$5,('Detailed Report'!AW954),0))</f>
        <v>757.16666999999995</v>
      </c>
      <c r="H958" s="106">
        <f>'Detailed Report'!AS954</f>
        <v>189.29167000000001</v>
      </c>
      <c r="I958" s="106">
        <f>'Detailed Report'!AT954</f>
        <v>26.500833799999999</v>
      </c>
      <c r="J958" s="106">
        <f>'Detailed Report'!AO954</f>
        <v>15.105475</v>
      </c>
      <c r="K958" s="106">
        <f>'Detailed Report'!AP954</f>
        <v>2.1147665</v>
      </c>
      <c r="L958" s="106">
        <f>'Detailed Report'!AU954/1.14</f>
        <v>27.184210526315791</v>
      </c>
      <c r="M958" s="106">
        <f>'Detailed Report'!AU954-L958</f>
        <v>3.8057894736842073</v>
      </c>
      <c r="N958" s="110">
        <f>'Detailed Report'!AW954</f>
        <v>599.16700000000003</v>
      </c>
      <c r="O958" s="111">
        <f t="shared" si="60"/>
        <v>157.99966999999992</v>
      </c>
      <c r="P958" s="110">
        <f>'Detailed Report'!AM954</f>
        <v>0</v>
      </c>
      <c r="Q958" s="110">
        <f>'Detailed Report'!AN954</f>
        <v>0</v>
      </c>
      <c r="R958" s="110">
        <f>'Detailed Report'!AU954/1.14</f>
        <v>27.184210526315791</v>
      </c>
      <c r="S958" s="110">
        <f>'Detailed Report'!AU954-'........... - Otlob'!R958</f>
        <v>3.8057894736842073</v>
      </c>
    </row>
    <row r="959" spans="1:19" x14ac:dyDescent="0.25">
      <c r="A959" s="105">
        <f>+IF(B959="","",SUBTOTAL(3,B$8:B959))</f>
        <v>952</v>
      </c>
      <c r="B959" s="106" t="str">
        <f>'Detailed Report'!O955</f>
        <v>Fuddruckers - Concord Plaza Mall</v>
      </c>
      <c r="C959" s="107">
        <f>TRUNC('Detailed Report'!Q955,0)</f>
        <v>46053</v>
      </c>
      <c r="D959" s="108">
        <f>'Detailed Report'!P955</f>
        <v>3430319448</v>
      </c>
      <c r="E959" s="106" t="str">
        <f>'Detailed Report'!S955</f>
        <v>Successful</v>
      </c>
      <c r="F959" s="109">
        <f>IF(E959=$E$6,('Detailed Report'!Y955),IF(E959=$E$5,(0),0))</f>
        <v>799.98</v>
      </c>
      <c r="G959" s="106">
        <f>IF(E959=$E$6,('Detailed Report'!AQ955),IF(E959=$E$5,('Detailed Report'!AW955),0))</f>
        <v>701.73684000000003</v>
      </c>
      <c r="H959" s="106">
        <f>'Detailed Report'!AS955</f>
        <v>175.43421000000001</v>
      </c>
      <c r="I959" s="106">
        <f>'Detailed Report'!AT955</f>
        <v>24.560789400000001</v>
      </c>
      <c r="J959" s="106">
        <f>'Detailed Report'!AO955</f>
        <v>0</v>
      </c>
      <c r="K959" s="106">
        <f>'Detailed Report'!AP955</f>
        <v>0</v>
      </c>
      <c r="L959" s="106">
        <f>'Detailed Report'!AU955/1.14</f>
        <v>0</v>
      </c>
      <c r="M959" s="106">
        <f>'Detailed Report'!AU955-L959</f>
        <v>0</v>
      </c>
      <c r="N959" s="110">
        <f>'Detailed Report'!AW955</f>
        <v>599.98500000000001</v>
      </c>
      <c r="O959" s="111">
        <f t="shared" si="60"/>
        <v>101.75184000000002</v>
      </c>
      <c r="P959" s="110">
        <f>'Detailed Report'!AM955</f>
        <v>0</v>
      </c>
      <c r="Q959" s="110">
        <f>'Detailed Report'!AN955</f>
        <v>0</v>
      </c>
      <c r="R959" s="110">
        <f>'Detailed Report'!AU955/1.14</f>
        <v>0</v>
      </c>
      <c r="S959" s="110">
        <f>'Detailed Report'!AU955-'........... - Otlob'!R959</f>
        <v>0</v>
      </c>
    </row>
    <row r="960" spans="1:19" x14ac:dyDescent="0.25">
      <c r="A960" s="105">
        <f>+IF(B960="","",SUBTOTAL(3,B$8:B960))</f>
        <v>953</v>
      </c>
      <c r="B960" s="106" t="str">
        <f>'Detailed Report'!O956</f>
        <v>Fuddruckers - Concord Plaza Mall</v>
      </c>
      <c r="C960" s="107">
        <f>TRUNC('Detailed Report'!Q956,0)</f>
        <v>46053</v>
      </c>
      <c r="D960" s="108">
        <f>'Detailed Report'!P956</f>
        <v>3430356552</v>
      </c>
      <c r="E960" s="106" t="str">
        <f>'Detailed Report'!S956</f>
        <v>Successful</v>
      </c>
      <c r="F960" s="109">
        <f>IF(E960=$E$6,('Detailed Report'!Y956),IF(E960=$E$5,(0),0))</f>
        <v>489.66</v>
      </c>
      <c r="G960" s="106">
        <f>IF(E960=$E$6,('Detailed Report'!AQ956),IF(E960=$E$5,('Detailed Report'!AW956),0))</f>
        <v>429.52632</v>
      </c>
      <c r="H960" s="106">
        <f>'Detailed Report'!AS956</f>
        <v>107.38158</v>
      </c>
      <c r="I960" s="106">
        <f>'Detailed Report'!AT956</f>
        <v>15.033421199999999</v>
      </c>
      <c r="J960" s="106">
        <f>'Detailed Report'!AO956</f>
        <v>8.5690500000000007</v>
      </c>
      <c r="K960" s="106">
        <f>'Detailed Report'!AP956</f>
        <v>1.199667</v>
      </c>
      <c r="L960" s="106">
        <f>'Detailed Report'!AU956/1.14</f>
        <v>30.692982456140356</v>
      </c>
      <c r="M960" s="106">
        <f>'Detailed Report'!AU956-L960</f>
        <v>4.2970175438596456</v>
      </c>
      <c r="N960" s="110">
        <f>'Detailed Report'!AW956</f>
        <v>322.48599999999999</v>
      </c>
      <c r="O960" s="111">
        <f t="shared" si="60"/>
        <v>107.04032000000001</v>
      </c>
      <c r="P960" s="110">
        <f>'Detailed Report'!AM956</f>
        <v>0</v>
      </c>
      <c r="Q960" s="110">
        <f>'Detailed Report'!AN956</f>
        <v>0</v>
      </c>
      <c r="R960" s="110">
        <f>'Detailed Report'!AU956/1.14</f>
        <v>30.692982456140356</v>
      </c>
      <c r="S960" s="110">
        <f>'Detailed Report'!AU956-'........... - Otlob'!R960</f>
        <v>4.2970175438596456</v>
      </c>
    </row>
    <row r="961" spans="1:19" x14ac:dyDescent="0.25">
      <c r="A961" s="105">
        <f>+IF(B961="","",SUBTOTAL(3,B$8:B961))</f>
        <v>954</v>
      </c>
      <c r="B961" s="106" t="str">
        <f>'Detailed Report'!O957</f>
        <v>Fuddruckers - New Maadi</v>
      </c>
      <c r="C961" s="107">
        <f>TRUNC('Detailed Report'!Q957,0)</f>
        <v>46053</v>
      </c>
      <c r="D961" s="108">
        <f>'Detailed Report'!P957</f>
        <v>3430364117</v>
      </c>
      <c r="E961" s="106" t="str">
        <f>'Detailed Report'!S957</f>
        <v>Successful</v>
      </c>
      <c r="F961" s="109">
        <f>IF(E961=$E$6,('Detailed Report'!Y957),IF(E961=$E$5,(0),0))</f>
        <v>389.83</v>
      </c>
      <c r="G961" s="106">
        <f>IF(E961=$E$6,('Detailed Report'!AQ957),IF(E961=$E$5,('Detailed Report'!AW957),0))</f>
        <v>341.95614</v>
      </c>
      <c r="H961" s="106">
        <f>'Detailed Report'!AS957</f>
        <v>85.489040000000003</v>
      </c>
      <c r="I961" s="106">
        <f>'Detailed Report'!AT957</f>
        <v>11.9684656</v>
      </c>
      <c r="J961" s="106">
        <f>'Detailed Report'!AO957</f>
        <v>6.822025</v>
      </c>
      <c r="K961" s="106">
        <f>'Detailed Report'!AP957</f>
        <v>0.95508349999999997</v>
      </c>
      <c r="L961" s="106">
        <f>'Detailed Report'!AU957/1.14</f>
        <v>25.42982456140351</v>
      </c>
      <c r="M961" s="106">
        <f>'Detailed Report'!AU957-L961</f>
        <v>3.5601754385964881</v>
      </c>
      <c r="N961" s="110">
        <f>'Detailed Report'!AW957</f>
        <v>255.60499999999999</v>
      </c>
      <c r="O961" s="111">
        <f t="shared" si="60"/>
        <v>86.351140000000015</v>
      </c>
      <c r="P961" s="110">
        <f>'Detailed Report'!AM957</f>
        <v>0</v>
      </c>
      <c r="Q961" s="110">
        <f>'Detailed Report'!AN957</f>
        <v>0</v>
      </c>
      <c r="R961" s="110">
        <f>'Detailed Report'!AU957/1.14</f>
        <v>25.42982456140351</v>
      </c>
      <c r="S961" s="110">
        <f>'Detailed Report'!AU957-'........... - Otlob'!R961</f>
        <v>3.5601754385964881</v>
      </c>
    </row>
    <row r="962" spans="1:19" x14ac:dyDescent="0.25">
      <c r="A962" s="105">
        <f>+IF(B962="","",SUBTOTAL(3,B$8:B962))</f>
        <v>955</v>
      </c>
      <c r="B962" s="106" t="str">
        <f>'Detailed Report'!O958</f>
        <v>Fuddruckers - New Maadi</v>
      </c>
      <c r="C962" s="107">
        <f>TRUNC('Detailed Report'!Q958,0)</f>
        <v>46053</v>
      </c>
      <c r="D962" s="108">
        <f>'Detailed Report'!P958</f>
        <v>3430391064</v>
      </c>
      <c r="E962" s="106" t="str">
        <f>'Detailed Report'!S958</f>
        <v>Successful</v>
      </c>
      <c r="F962" s="109">
        <f>IF(E962=$E$6,('Detailed Report'!Y958),IF(E962=$E$5,(0),0))</f>
        <v>791.98</v>
      </c>
      <c r="G962" s="106">
        <f>IF(E962=$E$6,('Detailed Report'!AQ958),IF(E962=$E$5,('Detailed Report'!AW958),0))</f>
        <v>694.71929999999998</v>
      </c>
      <c r="H962" s="106">
        <f>'Detailed Report'!AS958</f>
        <v>173.67983000000001</v>
      </c>
      <c r="I962" s="106">
        <f>'Detailed Report'!AT958</f>
        <v>24.3151762</v>
      </c>
      <c r="J962" s="106">
        <f>'Detailed Report'!AO958</f>
        <v>13.85965</v>
      </c>
      <c r="K962" s="106">
        <f>'Detailed Report'!AP958</f>
        <v>1.9403509999999999</v>
      </c>
      <c r="L962" s="106">
        <f>'Detailed Report'!AU958/1.14</f>
        <v>26.307017543859651</v>
      </c>
      <c r="M962" s="106">
        <f>'Detailed Report'!AU958-L962</f>
        <v>3.6829824561403477</v>
      </c>
      <c r="N962" s="110">
        <f>'Detailed Report'!AW958</f>
        <v>548.19500000000005</v>
      </c>
      <c r="O962" s="111">
        <f t="shared" si="60"/>
        <v>146.52429999999993</v>
      </c>
      <c r="P962" s="110">
        <f>'Detailed Report'!AM958</f>
        <v>0</v>
      </c>
      <c r="Q962" s="110">
        <f>'Detailed Report'!AN958</f>
        <v>0</v>
      </c>
      <c r="R962" s="110">
        <f>'Detailed Report'!AU958/1.14</f>
        <v>26.307017543859651</v>
      </c>
      <c r="S962" s="110">
        <f>'Detailed Report'!AU958-'........... - Otlob'!R962</f>
        <v>3.6829824561403477</v>
      </c>
    </row>
    <row r="963" spans="1:19" x14ac:dyDescent="0.25">
      <c r="A963" s="105">
        <f>+IF(B963="","",SUBTOTAL(3,B$8:B963))</f>
        <v>956</v>
      </c>
      <c r="B963" s="106" t="str">
        <f>'Detailed Report'!O959</f>
        <v>Fuddruckers - Concord Plaza Mall</v>
      </c>
      <c r="C963" s="107">
        <f>TRUNC('Detailed Report'!Q959,0)</f>
        <v>46053</v>
      </c>
      <c r="D963" s="108">
        <f>'Detailed Report'!P959</f>
        <v>3430401330</v>
      </c>
      <c r="E963" s="106" t="str">
        <f>'Detailed Report'!S959</f>
        <v>Successful</v>
      </c>
      <c r="F963" s="109">
        <f>IF(E963=$E$6,('Detailed Report'!Y959),IF(E963=$E$5,(0),0))</f>
        <v>363.99</v>
      </c>
      <c r="G963" s="106">
        <f>IF(E963=$E$6,('Detailed Report'!AQ959),IF(E963=$E$5,('Detailed Report'!AW959),0))</f>
        <v>319.28946999999999</v>
      </c>
      <c r="H963" s="106">
        <f>'Detailed Report'!AS959</f>
        <v>79.822370000000006</v>
      </c>
      <c r="I963" s="106">
        <f>'Detailed Report'!AT959</f>
        <v>11.175131800000001</v>
      </c>
      <c r="J963" s="106">
        <f>'Detailed Report'!AO959</f>
        <v>6.3698249999999996</v>
      </c>
      <c r="K963" s="106">
        <f>'Detailed Report'!AP959</f>
        <v>0.89177550000000005</v>
      </c>
      <c r="L963" s="106">
        <f>'Detailed Report'!AU959/1.14</f>
        <v>27.184210526315791</v>
      </c>
      <c r="M963" s="106">
        <f>'Detailed Report'!AU959-L963</f>
        <v>3.8057894736842073</v>
      </c>
      <c r="N963" s="110">
        <f>'Detailed Report'!AW959</f>
        <v>234.74100000000001</v>
      </c>
      <c r="O963" s="111">
        <f t="shared" si="60"/>
        <v>84.54846999999998</v>
      </c>
      <c r="P963" s="110">
        <f>'Detailed Report'!AM959</f>
        <v>0</v>
      </c>
      <c r="Q963" s="110">
        <f>'Detailed Report'!AN959</f>
        <v>0</v>
      </c>
      <c r="R963" s="110">
        <f>'Detailed Report'!AU959/1.14</f>
        <v>27.184210526315791</v>
      </c>
      <c r="S963" s="110">
        <f>'Detailed Report'!AU959-'........... - Otlob'!R963</f>
        <v>3.8057894736842073</v>
      </c>
    </row>
    <row r="964" spans="1:19" x14ac:dyDescent="0.25">
      <c r="A964" s="105">
        <f>+IF(B964="","",SUBTOTAL(3,B$8:B964))</f>
        <v>957</v>
      </c>
      <c r="B964" s="106" t="str">
        <f>'Detailed Report'!O960</f>
        <v>Fuddruckers - Concord Plaza Mall</v>
      </c>
      <c r="C964" s="107">
        <f>TRUNC('Detailed Report'!Q960,0)</f>
        <v>46053</v>
      </c>
      <c r="D964" s="108">
        <f>'Detailed Report'!P960</f>
        <v>3430415731</v>
      </c>
      <c r="E964" s="106" t="str">
        <f>'Detailed Report'!S960</f>
        <v>Successful</v>
      </c>
      <c r="F964" s="109">
        <f>IF(E964=$E$6,('Detailed Report'!Y960),IF(E964=$E$5,(0),0))</f>
        <v>637.69000000000005</v>
      </c>
      <c r="G964" s="106">
        <f>IF(E964=$E$6,('Detailed Report'!AQ960),IF(E964=$E$5,('Detailed Report'!AW960),0))</f>
        <v>559.37719000000004</v>
      </c>
      <c r="H964" s="106">
        <f>'Detailed Report'!AS960</f>
        <v>139.8443</v>
      </c>
      <c r="I964" s="106">
        <f>'Detailed Report'!AT960</f>
        <v>19.578202000000001</v>
      </c>
      <c r="J964" s="106">
        <f>'Detailed Report'!AO960</f>
        <v>11.159575</v>
      </c>
      <c r="K964" s="106">
        <f>'Detailed Report'!AP960</f>
        <v>1.5623404999999999</v>
      </c>
      <c r="L964" s="106">
        <f>'Detailed Report'!AU960/1.14</f>
        <v>28.061403508771932</v>
      </c>
      <c r="M964" s="106">
        <f>'Detailed Report'!AU960-L964</f>
        <v>3.9285964912280669</v>
      </c>
      <c r="N964" s="110">
        <f>'Detailed Report'!AW960</f>
        <v>433.55599999999998</v>
      </c>
      <c r="O964" s="111">
        <f t="shared" si="60"/>
        <v>125.82119000000006</v>
      </c>
      <c r="P964" s="110">
        <f>'Detailed Report'!AM960</f>
        <v>0</v>
      </c>
      <c r="Q964" s="110">
        <f>'Detailed Report'!AN960</f>
        <v>0</v>
      </c>
      <c r="R964" s="110">
        <f>'Detailed Report'!AU960/1.14</f>
        <v>28.061403508771932</v>
      </c>
      <c r="S964" s="110">
        <f>'Detailed Report'!AU960-'........... - Otlob'!R964</f>
        <v>3.9285964912280669</v>
      </c>
    </row>
    <row r="965" spans="1:19" x14ac:dyDescent="0.25">
      <c r="A965" s="105">
        <f>+IF(B965="","",SUBTOTAL(3,B$8:B965))</f>
        <v>958</v>
      </c>
      <c r="B965" s="106" t="str">
        <f>'Detailed Report'!O961</f>
        <v>Fuddruckers - New Maadi</v>
      </c>
      <c r="C965" s="107">
        <f>TRUNC('Detailed Report'!Q961,0)</f>
        <v>46053</v>
      </c>
      <c r="D965" s="108">
        <f>'Detailed Report'!P961</f>
        <v>3430430109</v>
      </c>
      <c r="E965" s="106" t="str">
        <f>'Detailed Report'!S961</f>
        <v>Successful</v>
      </c>
      <c r="F965" s="109">
        <f>IF(E965=$E$6,('Detailed Report'!Y961),IF(E965=$E$5,(0),0))</f>
        <v>639.98</v>
      </c>
      <c r="G965" s="106">
        <f>IF(E965=$E$6,('Detailed Report'!AQ961),IF(E965=$E$5,('Detailed Report'!AW961),0))</f>
        <v>561.38595999999995</v>
      </c>
      <c r="H965" s="106">
        <f>'Detailed Report'!AS961</f>
        <v>140.34648999999999</v>
      </c>
      <c r="I965" s="106">
        <f>'Detailed Report'!AT961</f>
        <v>19.6485086</v>
      </c>
      <c r="J965" s="106">
        <f>'Detailed Report'!AO961</f>
        <v>11.19965</v>
      </c>
      <c r="K965" s="106">
        <f>'Detailed Report'!AP961</f>
        <v>1.5679510000000001</v>
      </c>
      <c r="L965" s="106">
        <f>'Detailed Report'!AU961/1.14</f>
        <v>26.307017543859651</v>
      </c>
      <c r="M965" s="106">
        <f>'Detailed Report'!AU961-L965</f>
        <v>3.6829824561403477</v>
      </c>
      <c r="N965" s="110">
        <f>'Detailed Report'!AW961</f>
        <v>437.22699999999998</v>
      </c>
      <c r="O965" s="111">
        <f t="shared" si="60"/>
        <v>124.15895999999998</v>
      </c>
      <c r="P965" s="110">
        <f>'Detailed Report'!AM961</f>
        <v>0</v>
      </c>
      <c r="Q965" s="110">
        <f>'Detailed Report'!AN961</f>
        <v>0</v>
      </c>
      <c r="R965" s="110">
        <f>'Detailed Report'!AU961/1.14</f>
        <v>26.307017543859651</v>
      </c>
      <c r="S965" s="110">
        <f>'Detailed Report'!AU961-'........... - Otlob'!R965</f>
        <v>3.6829824561403477</v>
      </c>
    </row>
    <row r="966" spans="1:19" x14ac:dyDescent="0.25">
      <c r="A966" s="105">
        <f>+IF(B966="","",SUBTOTAL(3,B$8:B966))</f>
        <v>959</v>
      </c>
      <c r="B966" s="106" t="str">
        <f>'Detailed Report'!O962</f>
        <v>Fuddruckers - Concord Plaza Mall</v>
      </c>
      <c r="C966" s="107">
        <f>TRUNC('Detailed Report'!Q962,0)</f>
        <v>46053</v>
      </c>
      <c r="D966" s="108">
        <f>'Detailed Report'!P962</f>
        <v>3430432783</v>
      </c>
      <c r="E966" s="106" t="str">
        <f>'Detailed Report'!S962</f>
        <v>Successful</v>
      </c>
      <c r="F966" s="109">
        <f>IF(E966=$E$6,('Detailed Report'!Y962),IF(E966=$E$5,(0),0))</f>
        <v>475.98</v>
      </c>
      <c r="G966" s="106">
        <f>IF(E966=$E$6,('Detailed Report'!AQ962),IF(E966=$E$5,('Detailed Report'!AW962),0))</f>
        <v>417.52632</v>
      </c>
      <c r="H966" s="106">
        <f>'Detailed Report'!AS962</f>
        <v>104.38158</v>
      </c>
      <c r="I966" s="106">
        <f>'Detailed Report'!AT962</f>
        <v>14.613421199999999</v>
      </c>
      <c r="J966" s="106">
        <f>'Detailed Report'!AO962</f>
        <v>0</v>
      </c>
      <c r="K966" s="106">
        <f>'Detailed Report'!AP962</f>
        <v>0</v>
      </c>
      <c r="L966" s="106">
        <f>'Detailed Report'!AU962/1.14</f>
        <v>30.692982456140356</v>
      </c>
      <c r="M966" s="106">
        <f>'Detailed Report'!AU962-L966</f>
        <v>4.2970175438596456</v>
      </c>
      <c r="N966" s="110">
        <f>'Detailed Report'!AW962</f>
        <v>321.995</v>
      </c>
      <c r="O966" s="111">
        <f t="shared" si="60"/>
        <v>95.531319999999994</v>
      </c>
      <c r="P966" s="110">
        <f>'Detailed Report'!AM962</f>
        <v>0</v>
      </c>
      <c r="Q966" s="110">
        <f>'Detailed Report'!AN962</f>
        <v>0</v>
      </c>
      <c r="R966" s="110">
        <f>'Detailed Report'!AU962/1.14</f>
        <v>30.692982456140356</v>
      </c>
      <c r="S966" s="110">
        <f>'Detailed Report'!AU962-'........... - Otlob'!R966</f>
        <v>4.2970175438596456</v>
      </c>
    </row>
    <row r="967" spans="1:19" x14ac:dyDescent="0.25">
      <c r="A967" s="105">
        <f>+IF(B967="","",SUBTOTAL(3,B$8:B967))</f>
        <v>960</v>
      </c>
      <c r="B967" s="106" t="str">
        <f>'Detailed Report'!O963</f>
        <v>Fuddruckers - City Stars</v>
      </c>
      <c r="C967" s="107">
        <f>TRUNC('Detailed Report'!Q963,0)</f>
        <v>46053</v>
      </c>
      <c r="D967" s="108">
        <f>'Detailed Report'!P963</f>
        <v>3430474062</v>
      </c>
      <c r="E967" s="106" t="str">
        <f>'Detailed Report'!S963</f>
        <v>Successful</v>
      </c>
      <c r="F967" s="109">
        <f>IF(E967=$E$6,('Detailed Report'!Y963),IF(E967=$E$5,(0),0))</f>
        <v>838.62</v>
      </c>
      <c r="G967" s="106">
        <f>IF(E967=$E$6,('Detailed Report'!AQ963),IF(E967=$E$5,('Detailed Report'!AW963),0))</f>
        <v>735.63157999999999</v>
      </c>
      <c r="H967" s="106">
        <f>'Detailed Report'!AS963</f>
        <v>183.90790000000001</v>
      </c>
      <c r="I967" s="106">
        <f>'Detailed Report'!AT963</f>
        <v>25.747105999999999</v>
      </c>
      <c r="J967" s="106">
        <f>'Detailed Report'!AO963</f>
        <v>14.675850000000001</v>
      </c>
      <c r="K967" s="106">
        <f>'Detailed Report'!AP963</f>
        <v>2.0546190000000002</v>
      </c>
      <c r="L967" s="106">
        <f>'Detailed Report'!AU963/1.14</f>
        <v>24.55263157894737</v>
      </c>
      <c r="M967" s="106">
        <f>'Detailed Report'!AU963-L967</f>
        <v>3.4373684210526285</v>
      </c>
      <c r="N967" s="110">
        <f>'Detailed Report'!AW963</f>
        <v>584.245</v>
      </c>
      <c r="O967" s="111">
        <f t="shared" si="60"/>
        <v>151.38657999999998</v>
      </c>
      <c r="P967" s="110">
        <f>'Detailed Report'!AM963</f>
        <v>0</v>
      </c>
      <c r="Q967" s="110">
        <f>'Detailed Report'!AN963</f>
        <v>0</v>
      </c>
      <c r="R967" s="110">
        <f>'Detailed Report'!AU963/1.14</f>
        <v>24.55263157894737</v>
      </c>
      <c r="S967" s="110">
        <f>'Detailed Report'!AU963-'........... - Otlob'!R967</f>
        <v>3.4373684210526285</v>
      </c>
    </row>
    <row r="968" spans="1:19" x14ac:dyDescent="0.25">
      <c r="A968" s="105">
        <f>+IF(B968="","",SUBTOTAL(3,B$8:B968))</f>
        <v>961</v>
      </c>
      <c r="B968" s="106" t="str">
        <f>'Detailed Report'!O964</f>
        <v>Fuddruckers - New Maadi</v>
      </c>
      <c r="C968" s="107">
        <f>TRUNC('Detailed Report'!Q964,0)</f>
        <v>46053</v>
      </c>
      <c r="D968" s="108">
        <f>'Detailed Report'!P964</f>
        <v>3430514112</v>
      </c>
      <c r="E968" s="106" t="str">
        <f>'Detailed Report'!S964</f>
        <v>Successful</v>
      </c>
      <c r="F968" s="109">
        <f>IF(E968=$E$6,('Detailed Report'!Y964),IF(E968=$E$5,(0),0))</f>
        <v>866.99</v>
      </c>
      <c r="G968" s="106">
        <f>IF(E968=$E$6,('Detailed Report'!AQ964),IF(E968=$E$5,('Detailed Report'!AW964),0))</f>
        <v>760.51754000000005</v>
      </c>
      <c r="H968" s="106">
        <f>'Detailed Report'!AS964</f>
        <v>190.12939</v>
      </c>
      <c r="I968" s="106">
        <f>'Detailed Report'!AT964</f>
        <v>26.618114599999998</v>
      </c>
      <c r="J968" s="106">
        <f>'Detailed Report'!AO964</f>
        <v>15.172325000000001</v>
      </c>
      <c r="K968" s="106">
        <f>'Detailed Report'!AP964</f>
        <v>2.1241254999999999</v>
      </c>
      <c r="L968" s="106">
        <f>'Detailed Report'!AU964/1.14</f>
        <v>25.42982456140351</v>
      </c>
      <c r="M968" s="106">
        <f>'Detailed Report'!AU964-L968</f>
        <v>3.5601754385964881</v>
      </c>
      <c r="N968" s="110">
        <f>'Detailed Report'!AW964</f>
        <v>603.95600000000002</v>
      </c>
      <c r="O968" s="111">
        <f t="shared" si="60"/>
        <v>156.56154000000004</v>
      </c>
      <c r="P968" s="110">
        <f>'Detailed Report'!AM964</f>
        <v>0</v>
      </c>
      <c r="Q968" s="110">
        <f>'Detailed Report'!AN964</f>
        <v>0</v>
      </c>
      <c r="R968" s="110">
        <f>'Detailed Report'!AU964/1.14</f>
        <v>25.42982456140351</v>
      </c>
      <c r="S968" s="110">
        <f>'Detailed Report'!AU964-'........... - Otlob'!R968</f>
        <v>3.5601754385964881</v>
      </c>
    </row>
    <row r="969" spans="1:19" x14ac:dyDescent="0.25">
      <c r="A969" s="105">
        <f>+IF(B969="","",SUBTOTAL(3,B$8:B969))</f>
        <v>962</v>
      </c>
      <c r="B969" s="106" t="str">
        <f>'Detailed Report'!O965</f>
        <v>Fuddruckers - New Maadi</v>
      </c>
      <c r="C969" s="107">
        <f>TRUNC('Detailed Report'!Q965,0)</f>
        <v>46053</v>
      </c>
      <c r="D969" s="108">
        <f>'Detailed Report'!P965</f>
        <v>3430570151</v>
      </c>
      <c r="E969" s="106" t="str">
        <f>'Detailed Report'!S965</f>
        <v>Successful</v>
      </c>
      <c r="F969" s="109">
        <f>IF(E969=$E$6,('Detailed Report'!Y965),IF(E969=$E$5,(0),0))</f>
        <v>393.99</v>
      </c>
      <c r="G969" s="106">
        <f>IF(E969=$E$6,('Detailed Report'!AQ965),IF(E969=$E$5,('Detailed Report'!AW965),0))</f>
        <v>345.60525999999999</v>
      </c>
      <c r="H969" s="106">
        <f>'Detailed Report'!AS965</f>
        <v>86.401319999999998</v>
      </c>
      <c r="I969" s="106">
        <f>'Detailed Report'!AT965</f>
        <v>12.0961848</v>
      </c>
      <c r="J969" s="106">
        <f>'Detailed Report'!AO965</f>
        <v>6.894825</v>
      </c>
      <c r="K969" s="106">
        <f>'Detailed Report'!AP965</f>
        <v>0.96527549999999995</v>
      </c>
      <c r="L969" s="106">
        <f>'Detailed Report'!AU965/1.14</f>
        <v>0</v>
      </c>
      <c r="M969" s="106">
        <f>'Detailed Report'!AU965-L969</f>
        <v>0</v>
      </c>
      <c r="N969" s="110">
        <f>'Detailed Report'!AW965</f>
        <v>287.63200000000001</v>
      </c>
      <c r="O969" s="111">
        <f t="shared" ref="O969:O988" si="61">G969-N969</f>
        <v>57.973259999999982</v>
      </c>
      <c r="P969" s="110">
        <f>'Detailed Report'!AM965</f>
        <v>0</v>
      </c>
      <c r="Q969" s="110">
        <f>'Detailed Report'!AN965</f>
        <v>0</v>
      </c>
      <c r="R969" s="110">
        <f>'Detailed Report'!AU965/1.14</f>
        <v>0</v>
      </c>
      <c r="S969" s="110">
        <f>'Detailed Report'!AU965-'........... - Otlob'!R969</f>
        <v>0</v>
      </c>
    </row>
    <row r="970" spans="1:19" x14ac:dyDescent="0.25">
      <c r="A970" s="105">
        <f>+IF(B970="","",SUBTOTAL(3,B$8:B970))</f>
        <v>963</v>
      </c>
      <c r="B970" s="106" t="str">
        <f>'Detailed Report'!O966</f>
        <v>Fuddruckers - Concord Plaza Mall</v>
      </c>
      <c r="C970" s="107">
        <f>TRUNC('Detailed Report'!Q966,0)</f>
        <v>46053</v>
      </c>
      <c r="D970" s="108">
        <f>'Detailed Report'!P966</f>
        <v>3430645174</v>
      </c>
      <c r="E970" s="106" t="str">
        <f>'Detailed Report'!S966</f>
        <v>Successful</v>
      </c>
      <c r="F970" s="109">
        <f>IF(E970=$E$6,('Detailed Report'!Y966),IF(E970=$E$5,(0),0))</f>
        <v>355.99</v>
      </c>
      <c r="G970" s="106">
        <f>IF(E970=$E$6,('Detailed Report'!AQ966),IF(E970=$E$5,('Detailed Report'!AW966),0))</f>
        <v>312.27193</v>
      </c>
      <c r="H970" s="106">
        <f>'Detailed Report'!AS966</f>
        <v>78.067980000000006</v>
      </c>
      <c r="I970" s="106">
        <f>'Detailed Report'!AT966</f>
        <v>10.929517199999999</v>
      </c>
      <c r="J970" s="106">
        <f>'Detailed Report'!AO966</f>
        <v>6.2298249999999999</v>
      </c>
      <c r="K970" s="106">
        <f>'Detailed Report'!AP966</f>
        <v>0.87217549999999999</v>
      </c>
      <c r="L970" s="106">
        <f>'Detailed Report'!AU966/1.14</f>
        <v>28.061403508771932</v>
      </c>
      <c r="M970" s="106">
        <f>'Detailed Report'!AU966-L970</f>
        <v>3.9285964912280669</v>
      </c>
      <c r="N970" s="110">
        <f>'Detailed Report'!AW966</f>
        <v>193.70099999999999</v>
      </c>
      <c r="O970" s="111">
        <f t="shared" si="61"/>
        <v>118.57093</v>
      </c>
      <c r="P970" s="110">
        <f>'Detailed Report'!AM966</f>
        <v>30</v>
      </c>
      <c r="Q970" s="110">
        <f>'Detailed Report'!AN966</f>
        <v>4.2</v>
      </c>
      <c r="R970" s="110">
        <f>'Detailed Report'!AU966/1.14</f>
        <v>28.061403508771932</v>
      </c>
      <c r="S970" s="110">
        <f>'Detailed Report'!AU966-'........... - Otlob'!R970</f>
        <v>3.9285964912280669</v>
      </c>
    </row>
    <row r="971" spans="1:19" x14ac:dyDescent="0.25">
      <c r="A971" s="105">
        <f>+IF(B971="","",SUBTOTAL(3,B$8:B971))</f>
        <v>964</v>
      </c>
      <c r="B971" s="106" t="str">
        <f>'Detailed Report'!O967</f>
        <v>Fuddruckers - City Stars</v>
      </c>
      <c r="C971" s="107">
        <f>TRUNC('Detailed Report'!Q967,0)</f>
        <v>46053</v>
      </c>
      <c r="D971" s="108">
        <f>'Detailed Report'!P967</f>
        <v>3430661590</v>
      </c>
      <c r="E971" s="106" t="str">
        <f>'Detailed Report'!S967</f>
        <v>Successful</v>
      </c>
      <c r="F971" s="109">
        <f>IF(E971=$E$6,('Detailed Report'!Y967),IF(E971=$E$5,(0),0))</f>
        <v>245.68</v>
      </c>
      <c r="G971" s="106">
        <f>IF(E971=$E$6,('Detailed Report'!AQ967),IF(E971=$E$5,('Detailed Report'!AW967),0))</f>
        <v>215.50877</v>
      </c>
      <c r="H971" s="106">
        <f>'Detailed Report'!AS967</f>
        <v>53.877189999999999</v>
      </c>
      <c r="I971" s="106">
        <f>'Detailed Report'!AT967</f>
        <v>7.5428065999999996</v>
      </c>
      <c r="J971" s="106">
        <f>'Detailed Report'!AO967</f>
        <v>4.2994000000000003</v>
      </c>
      <c r="K971" s="106">
        <f>'Detailed Report'!AP967</f>
        <v>0.60191600000000001</v>
      </c>
      <c r="L971" s="106">
        <f>'Detailed Report'!AU967/1.14</f>
        <v>23.67543859649123</v>
      </c>
      <c r="M971" s="106">
        <f>'Detailed Report'!AU967-L971</f>
        <v>3.3145614035087689</v>
      </c>
      <c r="N971" s="110">
        <f>'Detailed Report'!AW967</f>
        <v>152.369</v>
      </c>
      <c r="O971" s="111">
        <f t="shared" si="61"/>
        <v>63.139769999999999</v>
      </c>
      <c r="P971" s="110">
        <f>'Detailed Report'!AM967</f>
        <v>0</v>
      </c>
      <c r="Q971" s="110">
        <f>'Detailed Report'!AN967</f>
        <v>0</v>
      </c>
      <c r="R971" s="110">
        <f>'Detailed Report'!AU967/1.14</f>
        <v>23.67543859649123</v>
      </c>
      <c r="S971" s="110">
        <f>'Detailed Report'!AU967-'........... - Otlob'!R971</f>
        <v>3.3145614035087689</v>
      </c>
    </row>
    <row r="972" spans="1:19" x14ac:dyDescent="0.25">
      <c r="A972" s="105">
        <f>+IF(B972="","",SUBTOTAL(3,B$8:B972))</f>
        <v>965</v>
      </c>
      <c r="B972" s="106" t="str">
        <f>'Detailed Report'!O968</f>
        <v>Fuddruckers - Concord Plaza Mall</v>
      </c>
      <c r="C972" s="107">
        <f>TRUNC('Detailed Report'!Q968,0)</f>
        <v>46053</v>
      </c>
      <c r="D972" s="108">
        <f>'Detailed Report'!P968</f>
        <v>3430702417</v>
      </c>
      <c r="E972" s="106" t="str">
        <f>'Detailed Report'!S968</f>
        <v>Successful</v>
      </c>
      <c r="F972" s="109">
        <f>IF(E972=$E$6,('Detailed Report'!Y968),IF(E972=$E$5,(0),0))</f>
        <v>854.99</v>
      </c>
      <c r="G972" s="106">
        <f>IF(E972=$E$6,('Detailed Report'!AQ968),IF(E972=$E$5,('Detailed Report'!AW968),0))</f>
        <v>749.99122999999997</v>
      </c>
      <c r="H972" s="106">
        <f>'Detailed Report'!AS968</f>
        <v>187.49780999999999</v>
      </c>
      <c r="I972" s="106">
        <f>'Detailed Report'!AT968</f>
        <v>26.249693400000002</v>
      </c>
      <c r="J972" s="106">
        <f>'Detailed Report'!AO968</f>
        <v>14.962325</v>
      </c>
      <c r="K972" s="106">
        <f>'Detailed Report'!AP968</f>
        <v>2.0947255</v>
      </c>
      <c r="L972" s="106">
        <f>'Detailed Report'!AU968/1.14</f>
        <v>28.938596491228076</v>
      </c>
      <c r="M972" s="106">
        <f>'Detailed Report'!AU968-L972</f>
        <v>4.0514035087719265</v>
      </c>
      <c r="N972" s="110">
        <f>'Detailed Report'!AW968</f>
        <v>591.19500000000005</v>
      </c>
      <c r="O972" s="111">
        <f t="shared" si="61"/>
        <v>158.79622999999992</v>
      </c>
      <c r="P972" s="110">
        <f>'Detailed Report'!AM968</f>
        <v>0</v>
      </c>
      <c r="Q972" s="110">
        <f>'Detailed Report'!AN968</f>
        <v>0</v>
      </c>
      <c r="R972" s="110">
        <f>'Detailed Report'!AU968/1.14</f>
        <v>28.938596491228076</v>
      </c>
      <c r="S972" s="110">
        <f>'Detailed Report'!AU968-'........... - Otlob'!R972</f>
        <v>4.0514035087719265</v>
      </c>
    </row>
    <row r="973" spans="1:19" x14ac:dyDescent="0.25">
      <c r="A973" s="105">
        <f>+IF(B973="","",SUBTOTAL(3,B$8:B973))</f>
        <v>966</v>
      </c>
      <c r="B973" s="106" t="str">
        <f>'Detailed Report'!O969</f>
        <v>Fuddruckers - Concord Plaza Mall</v>
      </c>
      <c r="C973" s="107">
        <f>TRUNC('Detailed Report'!Q969,0)</f>
        <v>46053</v>
      </c>
      <c r="D973" s="108">
        <f>'Detailed Report'!P969</f>
        <v>3430818272</v>
      </c>
      <c r="E973" s="106" t="str">
        <f>'Detailed Report'!S969</f>
        <v>Successful</v>
      </c>
      <c r="F973" s="109">
        <f>IF(E973=$E$6,('Detailed Report'!Y969),IF(E973=$E$5,(0),0))</f>
        <v>844</v>
      </c>
      <c r="G973" s="106">
        <f>IF(E973=$E$6,('Detailed Report'!AQ969),IF(E973=$E$5,('Detailed Report'!AW969),0))</f>
        <v>740.35087999999996</v>
      </c>
      <c r="H973" s="106">
        <f>'Detailed Report'!AS969</f>
        <v>185.08771999999999</v>
      </c>
      <c r="I973" s="106">
        <f>'Detailed Report'!AT969</f>
        <v>25.912280800000001</v>
      </c>
      <c r="J973" s="106">
        <f>'Detailed Report'!AO969</f>
        <v>14.77</v>
      </c>
      <c r="K973" s="106">
        <f>'Detailed Report'!AP969</f>
        <v>2.0678000000000001</v>
      </c>
      <c r="L973" s="106">
        <f>'Detailed Report'!AU969/1.14</f>
        <v>30.692982456140356</v>
      </c>
      <c r="M973" s="106">
        <f>'Detailed Report'!AU969-L973</f>
        <v>4.2970175438596456</v>
      </c>
      <c r="N973" s="110">
        <f>'Detailed Report'!AW969</f>
        <v>581.17200000000003</v>
      </c>
      <c r="O973" s="111">
        <f t="shared" si="61"/>
        <v>159.17887999999994</v>
      </c>
      <c r="P973" s="110">
        <f>'Detailed Report'!AM969</f>
        <v>0</v>
      </c>
      <c r="Q973" s="110">
        <f>'Detailed Report'!AN969</f>
        <v>0</v>
      </c>
      <c r="R973" s="110">
        <f>'Detailed Report'!AU969/1.14</f>
        <v>30.692982456140356</v>
      </c>
      <c r="S973" s="110">
        <f>'Detailed Report'!AU969-'........... - Otlob'!R973</f>
        <v>4.2970175438596456</v>
      </c>
    </row>
    <row r="974" spans="1:19" x14ac:dyDescent="0.25">
      <c r="A974" s="105">
        <f>+IF(B974="","",SUBTOTAL(3,B$8:B974))</f>
        <v>967</v>
      </c>
      <c r="B974" s="106" t="str">
        <f>'Detailed Report'!O970</f>
        <v>Fuddruckers - New Maadi</v>
      </c>
      <c r="C974" s="107">
        <f>TRUNC('Detailed Report'!Q970,0)</f>
        <v>46053</v>
      </c>
      <c r="D974" s="108">
        <f>'Detailed Report'!P970</f>
        <v>3430835478</v>
      </c>
      <c r="E974" s="106" t="str">
        <f>'Detailed Report'!S970</f>
        <v>Successful</v>
      </c>
      <c r="F974" s="109">
        <f>IF(E974=$E$6,('Detailed Report'!Y970),IF(E974=$E$5,(0),0))</f>
        <v>355</v>
      </c>
      <c r="G974" s="106">
        <f>IF(E974=$E$6,('Detailed Report'!AQ970),IF(E974=$E$5,('Detailed Report'!AW970),0))</f>
        <v>311.40350999999998</v>
      </c>
      <c r="H974" s="106">
        <f>'Detailed Report'!AS970</f>
        <v>77.850880000000004</v>
      </c>
      <c r="I974" s="106">
        <f>'Detailed Report'!AT970</f>
        <v>10.8991232</v>
      </c>
      <c r="J974" s="106">
        <f>'Detailed Report'!AO970</f>
        <v>6.2125000000000004</v>
      </c>
      <c r="K974" s="106">
        <f>'Detailed Report'!AP970</f>
        <v>0.86975000000000002</v>
      </c>
      <c r="L974" s="106">
        <f>'Detailed Report'!AU970/1.14</f>
        <v>0</v>
      </c>
      <c r="M974" s="106">
        <f>'Detailed Report'!AU970-L974</f>
        <v>0</v>
      </c>
      <c r="N974" s="110">
        <f>'Detailed Report'!AW970</f>
        <v>259.16800000000001</v>
      </c>
      <c r="O974" s="111">
        <f t="shared" si="61"/>
        <v>52.235509999999977</v>
      </c>
      <c r="P974" s="110">
        <f>'Detailed Report'!AM970</f>
        <v>0</v>
      </c>
      <c r="Q974" s="110">
        <f>'Detailed Report'!AN970</f>
        <v>0</v>
      </c>
      <c r="R974" s="110">
        <f>'Detailed Report'!AU970/1.14</f>
        <v>0</v>
      </c>
      <c r="S974" s="110">
        <f>'Detailed Report'!AU970-'........... - Otlob'!R974</f>
        <v>0</v>
      </c>
    </row>
    <row r="975" spans="1:19" x14ac:dyDescent="0.25">
      <c r="A975" s="105">
        <f>+IF(B975="","",SUBTOTAL(3,B$8:B975))</f>
        <v>968</v>
      </c>
      <c r="B975" s="106" t="str">
        <f>'Detailed Report'!O971</f>
        <v>Fuddruckers - New Maadi</v>
      </c>
      <c r="C975" s="107">
        <f>TRUNC('Detailed Report'!Q971,0)</f>
        <v>46053</v>
      </c>
      <c r="D975" s="108">
        <f>'Detailed Report'!P971</f>
        <v>3430835892</v>
      </c>
      <c r="E975" s="106" t="str">
        <f>'Detailed Report'!S971</f>
        <v>Successful</v>
      </c>
      <c r="F975" s="109">
        <f>IF(E975=$E$6,('Detailed Report'!Y971),IF(E975=$E$5,(0),0))</f>
        <v>341.58</v>
      </c>
      <c r="G975" s="106">
        <f>IF(E975=$E$6,('Detailed Report'!AQ971),IF(E975=$E$5,('Detailed Report'!AW971),0))</f>
        <v>299.63157999999999</v>
      </c>
      <c r="H975" s="106">
        <f>'Detailed Report'!AS971</f>
        <v>74.907899999999998</v>
      </c>
      <c r="I975" s="106">
        <f>'Detailed Report'!AT971</f>
        <v>10.487106000000001</v>
      </c>
      <c r="J975" s="106">
        <f>'Detailed Report'!AO971</f>
        <v>5.9776499999999997</v>
      </c>
      <c r="K975" s="106">
        <f>'Detailed Report'!AP971</f>
        <v>0.83687100000000003</v>
      </c>
      <c r="L975" s="106">
        <f>'Detailed Report'!AU971/1.14</f>
        <v>27.184210526315791</v>
      </c>
      <c r="M975" s="106">
        <f>'Detailed Report'!AU971-L975</f>
        <v>3.8057894736842073</v>
      </c>
      <c r="N975" s="110">
        <f>'Detailed Report'!AW971</f>
        <v>218.38</v>
      </c>
      <c r="O975" s="111">
        <f t="shared" si="61"/>
        <v>81.25157999999999</v>
      </c>
      <c r="P975" s="110">
        <f>'Detailed Report'!AM971</f>
        <v>0</v>
      </c>
      <c r="Q975" s="110">
        <f>'Detailed Report'!AN971</f>
        <v>0</v>
      </c>
      <c r="R975" s="110">
        <f>'Detailed Report'!AU971/1.14</f>
        <v>27.184210526315791</v>
      </c>
      <c r="S975" s="110">
        <f>'Detailed Report'!AU971-'........... - Otlob'!R975</f>
        <v>3.8057894736842073</v>
      </c>
    </row>
    <row r="976" spans="1:19" x14ac:dyDescent="0.25">
      <c r="A976" s="105">
        <f>+IF(B976="","",SUBTOTAL(3,B$8:B976))</f>
        <v>969</v>
      </c>
      <c r="B976" s="106" t="str">
        <f>'Detailed Report'!O972</f>
        <v>Fuddruckers - New Maadi</v>
      </c>
      <c r="C976" s="107">
        <f>TRUNC('Detailed Report'!Q972,0)</f>
        <v>46053</v>
      </c>
      <c r="D976" s="108">
        <f>'Detailed Report'!P972</f>
        <v>3430856336</v>
      </c>
      <c r="E976" s="106" t="str">
        <f>'Detailed Report'!S972</f>
        <v>Successful</v>
      </c>
      <c r="F976" s="109">
        <f>IF(E976=$E$6,('Detailed Report'!Y972),IF(E976=$E$5,(0),0))</f>
        <v>352</v>
      </c>
      <c r="G976" s="106">
        <f>IF(E976=$E$6,('Detailed Report'!AQ972),IF(E976=$E$5,('Detailed Report'!AW972),0))</f>
        <v>308.77193</v>
      </c>
      <c r="H976" s="106">
        <f>'Detailed Report'!AS972</f>
        <v>77.192980000000006</v>
      </c>
      <c r="I976" s="106">
        <f>'Detailed Report'!AT972</f>
        <v>10.807017200000001</v>
      </c>
      <c r="J976" s="106">
        <f>'Detailed Report'!AO972</f>
        <v>6.16</v>
      </c>
      <c r="K976" s="106">
        <f>'Detailed Report'!AP972</f>
        <v>0.86240000000000006</v>
      </c>
      <c r="L976" s="106">
        <f>'Detailed Report'!AU972/1.14</f>
        <v>0</v>
      </c>
      <c r="M976" s="106">
        <f>'Detailed Report'!AU972-L976</f>
        <v>0</v>
      </c>
      <c r="N976" s="110">
        <f>'Detailed Report'!AW972</f>
        <v>256.97800000000001</v>
      </c>
      <c r="O976" s="111">
        <f t="shared" si="61"/>
        <v>51.793929999999989</v>
      </c>
      <c r="P976" s="110">
        <f>'Detailed Report'!AM972</f>
        <v>0</v>
      </c>
      <c r="Q976" s="110">
        <f>'Detailed Report'!AN972</f>
        <v>0</v>
      </c>
      <c r="R976" s="110">
        <f>'Detailed Report'!AU972/1.14</f>
        <v>0</v>
      </c>
      <c r="S976" s="110">
        <f>'Detailed Report'!AU972-'........... - Otlob'!R976</f>
        <v>0</v>
      </c>
    </row>
    <row r="977" spans="1:19" x14ac:dyDescent="0.25">
      <c r="A977" s="105">
        <f>+IF(B977="","",SUBTOTAL(3,B$8:B977))</f>
        <v>970</v>
      </c>
      <c r="B977" s="106" t="str">
        <f>'Detailed Report'!O973</f>
        <v>Fuddruckers - Concord Plaza Mall</v>
      </c>
      <c r="C977" s="107">
        <f>TRUNC('Detailed Report'!Q973,0)</f>
        <v>46053</v>
      </c>
      <c r="D977" s="108">
        <f>'Detailed Report'!P973</f>
        <v>3430869924</v>
      </c>
      <c r="E977" s="106" t="str">
        <f>'Detailed Report'!S973</f>
        <v>Successful</v>
      </c>
      <c r="F977" s="109">
        <f>IF(E977=$E$6,('Detailed Report'!Y973),IF(E977=$E$5,(0),0))</f>
        <v>986.65</v>
      </c>
      <c r="G977" s="106">
        <f>IF(E977=$E$6,('Detailed Report'!AQ973),IF(E977=$E$5,('Detailed Report'!AW973),0))</f>
        <v>865.48245999999995</v>
      </c>
      <c r="H977" s="106">
        <f>'Detailed Report'!AS973</f>
        <v>216.37062</v>
      </c>
      <c r="I977" s="106">
        <f>'Detailed Report'!AT973</f>
        <v>30.2918868</v>
      </c>
      <c r="J977" s="106">
        <f>'Detailed Report'!AO973</f>
        <v>17.266375</v>
      </c>
      <c r="K977" s="106">
        <f>'Detailed Report'!AP973</f>
        <v>2.4172924999999998</v>
      </c>
      <c r="L977" s="106">
        <f>'Detailed Report'!AU973/1.14</f>
        <v>30.692982456140356</v>
      </c>
      <c r="M977" s="106">
        <f>'Detailed Report'!AU973-L977</f>
        <v>4.2970175438596456</v>
      </c>
      <c r="N977" s="110">
        <f>'Detailed Report'!AW973</f>
        <v>685.31399999999996</v>
      </c>
      <c r="O977" s="111">
        <f t="shared" si="61"/>
        <v>180.16845999999998</v>
      </c>
      <c r="P977" s="110">
        <f>'Detailed Report'!AM973</f>
        <v>0</v>
      </c>
      <c r="Q977" s="110">
        <f>'Detailed Report'!AN973</f>
        <v>0</v>
      </c>
      <c r="R977" s="110">
        <f>'Detailed Report'!AU973/1.14</f>
        <v>30.692982456140356</v>
      </c>
      <c r="S977" s="110">
        <f>'Detailed Report'!AU973-'........... - Otlob'!R977</f>
        <v>4.2970175438596456</v>
      </c>
    </row>
    <row r="978" spans="1:19" x14ac:dyDescent="0.25">
      <c r="A978" s="105">
        <f>+IF(B978="","",SUBTOTAL(3,B$8:B978))</f>
        <v>971</v>
      </c>
      <c r="B978" s="106" t="str">
        <f>'Detailed Report'!O974</f>
        <v>Fuddruckers - Concord Plaza Mall</v>
      </c>
      <c r="C978" s="107">
        <f>TRUNC('Detailed Report'!Q974,0)</f>
        <v>46053</v>
      </c>
      <c r="D978" s="108">
        <f>'Detailed Report'!P974</f>
        <v>3430896981</v>
      </c>
      <c r="E978" s="106" t="str">
        <f>'Detailed Report'!S974</f>
        <v>Successful</v>
      </c>
      <c r="F978" s="109">
        <f>IF(E978=$E$6,('Detailed Report'!Y974),IF(E978=$E$5,(0),0))</f>
        <v>852.98</v>
      </c>
      <c r="G978" s="106">
        <f>IF(E978=$E$6,('Detailed Report'!AQ974),IF(E978=$E$5,('Detailed Report'!AW974),0))</f>
        <v>748.22807</v>
      </c>
      <c r="H978" s="106">
        <f>'Detailed Report'!AS974</f>
        <v>187.05701999999999</v>
      </c>
      <c r="I978" s="106">
        <f>'Detailed Report'!AT974</f>
        <v>26.1879828</v>
      </c>
      <c r="J978" s="106">
        <f>'Detailed Report'!AO974</f>
        <v>14.927149999999999</v>
      </c>
      <c r="K978" s="106">
        <f>'Detailed Report'!AP974</f>
        <v>2.089801</v>
      </c>
      <c r="L978" s="106">
        <f>'Detailed Report'!AU974/1.14</f>
        <v>30.692982456140356</v>
      </c>
      <c r="M978" s="106">
        <f>'Detailed Report'!AU974-L978</f>
        <v>4.2970175438596456</v>
      </c>
      <c r="N978" s="110">
        <f>'Detailed Report'!AW974</f>
        <v>587.72799999999995</v>
      </c>
      <c r="O978" s="111">
        <f t="shared" si="61"/>
        <v>160.50007000000005</v>
      </c>
      <c r="P978" s="110">
        <f>'Detailed Report'!AM974</f>
        <v>0</v>
      </c>
      <c r="Q978" s="110">
        <f>'Detailed Report'!AN974</f>
        <v>0</v>
      </c>
      <c r="R978" s="110">
        <f>'Detailed Report'!AU974/1.14</f>
        <v>30.692982456140356</v>
      </c>
      <c r="S978" s="110">
        <f>'Detailed Report'!AU974-'........... - Otlob'!R978</f>
        <v>4.2970175438596456</v>
      </c>
    </row>
    <row r="979" spans="1:19" x14ac:dyDescent="0.25">
      <c r="A979" s="105">
        <f>+IF(B979="","",SUBTOTAL(3,B$8:B979))</f>
        <v>972</v>
      </c>
      <c r="B979" s="106" t="str">
        <f>'Detailed Report'!O975</f>
        <v>Fuddruckers - New Maadi</v>
      </c>
      <c r="C979" s="107">
        <f>TRUNC('Detailed Report'!Q975,0)</f>
        <v>46053</v>
      </c>
      <c r="D979" s="108">
        <f>'Detailed Report'!P975</f>
        <v>3431032505</v>
      </c>
      <c r="E979" s="106" t="str">
        <f>'Detailed Report'!S975</f>
        <v>Successful</v>
      </c>
      <c r="F979" s="109">
        <f>IF(E979=$E$6,('Detailed Report'!Y975),IF(E979=$E$5,(0),0))</f>
        <v>904.97</v>
      </c>
      <c r="G979" s="106">
        <f>IF(E979=$E$6,('Detailed Report'!AQ975),IF(E979=$E$5,('Detailed Report'!AW975),0))</f>
        <v>793.83333000000005</v>
      </c>
      <c r="H979" s="106">
        <f>'Detailed Report'!AS975</f>
        <v>198.45832999999999</v>
      </c>
      <c r="I979" s="106">
        <f>'Detailed Report'!AT975</f>
        <v>27.784166200000001</v>
      </c>
      <c r="J979" s="106">
        <f>'Detailed Report'!AO975</f>
        <v>15.836975000000001</v>
      </c>
      <c r="K979" s="106">
        <f>'Detailed Report'!AP975</f>
        <v>2.2171764999999999</v>
      </c>
      <c r="L979" s="106">
        <f>'Detailed Report'!AU975/1.14</f>
        <v>0</v>
      </c>
      <c r="M979" s="106">
        <f>'Detailed Report'!AU975-L979</f>
        <v>0</v>
      </c>
      <c r="N979" s="110">
        <f>'Detailed Report'!AW975</f>
        <v>660.673</v>
      </c>
      <c r="O979" s="111">
        <f t="shared" si="61"/>
        <v>133.16033000000004</v>
      </c>
      <c r="P979" s="110">
        <f>'Detailed Report'!AM975</f>
        <v>0</v>
      </c>
      <c r="Q979" s="110">
        <f>'Detailed Report'!AN975</f>
        <v>0</v>
      </c>
      <c r="R979" s="110">
        <f>'Detailed Report'!AU975/1.14</f>
        <v>0</v>
      </c>
      <c r="S979" s="110">
        <f>'Detailed Report'!AU975-'........... - Otlob'!R979</f>
        <v>0</v>
      </c>
    </row>
    <row r="980" spans="1:19" x14ac:dyDescent="0.25">
      <c r="A980" s="105">
        <f>+IF(B980="","",SUBTOTAL(3,B$8:B980))</f>
        <v>973</v>
      </c>
      <c r="B980" s="106" t="str">
        <f>'Detailed Report'!O976</f>
        <v>Fuddruckers - City Stars</v>
      </c>
      <c r="C980" s="107">
        <f>TRUNC('Detailed Report'!Q976,0)</f>
        <v>46053</v>
      </c>
      <c r="D980" s="108">
        <f>'Detailed Report'!P976</f>
        <v>3431099970</v>
      </c>
      <c r="E980" s="106" t="str">
        <f>'Detailed Report'!S976</f>
        <v>Successful</v>
      </c>
      <c r="F980" s="109">
        <f>IF(E980=$E$6,('Detailed Report'!Y976),IF(E980=$E$5,(0),0))</f>
        <v>482.66</v>
      </c>
      <c r="G980" s="106">
        <f>IF(E980=$E$6,('Detailed Report'!AQ976),IF(E980=$E$5,('Detailed Report'!AW976),0))</f>
        <v>423.38596000000001</v>
      </c>
      <c r="H980" s="106">
        <f>'Detailed Report'!AS976</f>
        <v>105.84649</v>
      </c>
      <c r="I980" s="106">
        <f>'Detailed Report'!AT976</f>
        <v>14.818508599999999</v>
      </c>
      <c r="J980" s="106">
        <f>'Detailed Report'!AO976</f>
        <v>0</v>
      </c>
      <c r="K980" s="106">
        <f>'Detailed Report'!AP976</f>
        <v>0</v>
      </c>
      <c r="L980" s="106">
        <f>'Detailed Report'!AU976/1.14</f>
        <v>0</v>
      </c>
      <c r="M980" s="106">
        <f>'Detailed Report'!AU976-L980</f>
        <v>0</v>
      </c>
      <c r="N980" s="110">
        <f>'Detailed Report'!AW976</f>
        <v>327.79500000000002</v>
      </c>
      <c r="O980" s="111">
        <f t="shared" si="61"/>
        <v>95.590959999999995</v>
      </c>
      <c r="P980" s="110">
        <f>'Detailed Report'!AM976</f>
        <v>30</v>
      </c>
      <c r="Q980" s="110">
        <f>'Detailed Report'!AN976</f>
        <v>4.2</v>
      </c>
      <c r="R980" s="110">
        <f>'Detailed Report'!AU976/1.14</f>
        <v>0</v>
      </c>
      <c r="S980" s="110">
        <f>'Detailed Report'!AU976-'........... - Otlob'!R980</f>
        <v>0</v>
      </c>
    </row>
    <row r="981" spans="1:19" x14ac:dyDescent="0.25">
      <c r="A981" s="105">
        <f>+IF(B981="","",SUBTOTAL(3,B$8:B981))</f>
        <v>974</v>
      </c>
      <c r="B981" s="106" t="str">
        <f>'Detailed Report'!O977</f>
        <v>Fuddruckers - Concord Plaza Mall</v>
      </c>
      <c r="C981" s="107">
        <f>TRUNC('Detailed Report'!Q977,0)</f>
        <v>46053</v>
      </c>
      <c r="D981" s="108">
        <f>'Detailed Report'!P977</f>
        <v>3431166218</v>
      </c>
      <c r="E981" s="106" t="str">
        <f>'Detailed Report'!S977</f>
        <v>Successful</v>
      </c>
      <c r="F981" s="109">
        <f>IF(E981=$E$6,('Detailed Report'!Y977),IF(E981=$E$5,(0),0))</f>
        <v>904.97</v>
      </c>
      <c r="G981" s="106">
        <f>IF(E981=$E$6,('Detailed Report'!AQ977),IF(E981=$E$5,('Detailed Report'!AW977),0))</f>
        <v>793.83333000000005</v>
      </c>
      <c r="H981" s="106">
        <f>'Detailed Report'!AS977</f>
        <v>198.45832999999999</v>
      </c>
      <c r="I981" s="106">
        <f>'Detailed Report'!AT977</f>
        <v>27.784166200000001</v>
      </c>
      <c r="J981" s="106">
        <f>'Detailed Report'!AO977</f>
        <v>15.836975000000001</v>
      </c>
      <c r="K981" s="106">
        <f>'Detailed Report'!AP977</f>
        <v>2.2171764999999999</v>
      </c>
      <c r="L981" s="106">
        <f>'Detailed Report'!AU977/1.14</f>
        <v>0</v>
      </c>
      <c r="M981" s="106">
        <f>'Detailed Report'!AU977-L981</f>
        <v>0</v>
      </c>
      <c r="N981" s="110">
        <f>'Detailed Report'!AW977</f>
        <v>660.673</v>
      </c>
      <c r="O981" s="111">
        <f t="shared" si="61"/>
        <v>133.16033000000004</v>
      </c>
      <c r="P981" s="110">
        <f>'Detailed Report'!AM977</f>
        <v>0</v>
      </c>
      <c r="Q981" s="110">
        <f>'Detailed Report'!AN977</f>
        <v>0</v>
      </c>
      <c r="R981" s="110">
        <f>'Detailed Report'!AU977/1.14</f>
        <v>0</v>
      </c>
      <c r="S981" s="110">
        <f>'Detailed Report'!AU977-'........... - Otlob'!R981</f>
        <v>0</v>
      </c>
    </row>
    <row r="982" spans="1:19" x14ac:dyDescent="0.25">
      <c r="A982" s="105">
        <f>+IF(B982="","",SUBTOTAL(3,B$8:B982))</f>
        <v>975</v>
      </c>
      <c r="B982" s="106" t="str">
        <f>'Detailed Report'!O978</f>
        <v>Fuddruckers - Concord Plaza Mall</v>
      </c>
      <c r="C982" s="107">
        <f>TRUNC('Detailed Report'!Q978,0)</f>
        <v>46053</v>
      </c>
      <c r="D982" s="108">
        <f>'Detailed Report'!P978</f>
        <v>3431195240</v>
      </c>
      <c r="E982" s="106" t="str">
        <f>'Detailed Report'!S978</f>
        <v>Successful</v>
      </c>
      <c r="F982" s="109">
        <f>IF(E982=$E$6,('Detailed Report'!Y978),IF(E982=$E$5,(0),0))</f>
        <v>294.99</v>
      </c>
      <c r="G982" s="106">
        <f>IF(E982=$E$6,('Detailed Report'!AQ978),IF(E982=$E$5,('Detailed Report'!AW978),0))</f>
        <v>258.76316000000003</v>
      </c>
      <c r="H982" s="106">
        <f>'Detailed Report'!AS978</f>
        <v>64.690790000000007</v>
      </c>
      <c r="I982" s="106">
        <f>'Detailed Report'!AT978</f>
        <v>9.0567106000000006</v>
      </c>
      <c r="J982" s="106">
        <f>'Detailed Report'!AO978</f>
        <v>5.1623250000000001</v>
      </c>
      <c r="K982" s="106">
        <f>'Detailed Report'!AP978</f>
        <v>0.72272550000000002</v>
      </c>
      <c r="L982" s="106">
        <f>'Detailed Report'!AU978/1.14</f>
        <v>28.938596491228076</v>
      </c>
      <c r="M982" s="106">
        <f>'Detailed Report'!AU978-L982</f>
        <v>4.0514035087719265</v>
      </c>
      <c r="N982" s="110">
        <f>'Detailed Report'!AW978</f>
        <v>182.36699999999999</v>
      </c>
      <c r="O982" s="111">
        <f t="shared" si="61"/>
        <v>76.396160000000037</v>
      </c>
      <c r="P982" s="110">
        <f>'Detailed Report'!AM978</f>
        <v>0</v>
      </c>
      <c r="Q982" s="110">
        <f>'Detailed Report'!AN978</f>
        <v>0</v>
      </c>
      <c r="R982" s="110">
        <f>'Detailed Report'!AU978/1.14</f>
        <v>28.938596491228076</v>
      </c>
      <c r="S982" s="110">
        <f>'Detailed Report'!AU978-'........... - Otlob'!R982</f>
        <v>4.0514035087719265</v>
      </c>
    </row>
    <row r="983" spans="1:19" x14ac:dyDescent="0.25">
      <c r="A983" s="105">
        <f>+IF(B983="","",SUBTOTAL(3,B$8:B983))</f>
        <v>976</v>
      </c>
      <c r="B983" s="106" t="str">
        <f>'Detailed Report'!O979</f>
        <v>Fuddruckers - City Stars</v>
      </c>
      <c r="C983" s="107">
        <f>TRUNC('Detailed Report'!Q979,0)</f>
        <v>46053</v>
      </c>
      <c r="D983" s="108">
        <f>'Detailed Report'!P979</f>
        <v>3431196225</v>
      </c>
      <c r="E983" s="106" t="str">
        <f>'Detailed Report'!S979</f>
        <v>Successful</v>
      </c>
      <c r="F983" s="109">
        <f>IF(E983=$E$6,('Detailed Report'!Y979),IF(E983=$E$5,(0),0))</f>
        <v>702.97</v>
      </c>
      <c r="G983" s="106">
        <f>IF(E983=$E$6,('Detailed Report'!AQ979),IF(E983=$E$5,('Detailed Report'!AW979),0))</f>
        <v>616.64035000000001</v>
      </c>
      <c r="H983" s="106">
        <f>'Detailed Report'!AS979</f>
        <v>154.16009</v>
      </c>
      <c r="I983" s="106">
        <f>'Detailed Report'!AT979</f>
        <v>21.582412600000001</v>
      </c>
      <c r="J983" s="106">
        <f>'Detailed Report'!AO979</f>
        <v>0</v>
      </c>
      <c r="K983" s="106">
        <f>'Detailed Report'!AP979</f>
        <v>0</v>
      </c>
      <c r="L983" s="106">
        <f>'Detailed Report'!AU979/1.14</f>
        <v>0</v>
      </c>
      <c r="M983" s="106">
        <f>'Detailed Report'!AU979-L983</f>
        <v>0</v>
      </c>
      <c r="N983" s="110">
        <f>'Detailed Report'!AW979</f>
        <v>527.22699999999998</v>
      </c>
      <c r="O983" s="111">
        <f t="shared" si="61"/>
        <v>89.413350000000037</v>
      </c>
      <c r="P983" s="110">
        <f>'Detailed Report'!AM979</f>
        <v>0</v>
      </c>
      <c r="Q983" s="110">
        <f>'Detailed Report'!AN979</f>
        <v>0</v>
      </c>
      <c r="R983" s="110">
        <f>'Detailed Report'!AU979/1.14</f>
        <v>0</v>
      </c>
      <c r="S983" s="110">
        <f>'Detailed Report'!AU979-'........... - Otlob'!R983</f>
        <v>0</v>
      </c>
    </row>
    <row r="984" spans="1:19" x14ac:dyDescent="0.25">
      <c r="A984" s="105">
        <f>+IF(B984="","",SUBTOTAL(3,B$8:B984))</f>
        <v>977</v>
      </c>
      <c r="B984" s="106" t="str">
        <f>'Detailed Report'!O980</f>
        <v>Fuddruckers - Concord Plaza Mall</v>
      </c>
      <c r="C984" s="107">
        <f>TRUNC('Detailed Report'!Q980,0)</f>
        <v>46053</v>
      </c>
      <c r="D984" s="108">
        <f>'Detailed Report'!P980</f>
        <v>3431204407</v>
      </c>
      <c r="E984" s="106" t="str">
        <f>'Detailed Report'!S980</f>
        <v>Successful</v>
      </c>
      <c r="F984" s="109">
        <f>IF(E984=$E$6,('Detailed Report'!Y980),IF(E984=$E$5,(0),0))</f>
        <v>605.97</v>
      </c>
      <c r="G984" s="106">
        <f>IF(E984=$E$6,('Detailed Report'!AQ980),IF(E984=$E$5,('Detailed Report'!AW980),0))</f>
        <v>531.55263000000002</v>
      </c>
      <c r="H984" s="106">
        <f>'Detailed Report'!AS980</f>
        <v>132.88816</v>
      </c>
      <c r="I984" s="106">
        <f>'Detailed Report'!AT980</f>
        <v>18.6043424</v>
      </c>
      <c r="J984" s="106">
        <f>'Detailed Report'!AO980</f>
        <v>10.604475000000001</v>
      </c>
      <c r="K984" s="106">
        <f>'Detailed Report'!AP980</f>
        <v>1.4846265000000001</v>
      </c>
      <c r="L984" s="106">
        <f>'Detailed Report'!AU980/1.14</f>
        <v>32.447368421052637</v>
      </c>
      <c r="M984" s="106">
        <f>'Detailed Report'!AU980-L984</f>
        <v>4.5426315789473648</v>
      </c>
      <c r="N984" s="110">
        <f>'Detailed Report'!AW980</f>
        <v>405.39800000000002</v>
      </c>
      <c r="O984" s="111">
        <f t="shared" si="61"/>
        <v>126.15463</v>
      </c>
      <c r="P984" s="110">
        <f>'Detailed Report'!AM980</f>
        <v>0</v>
      </c>
      <c r="Q984" s="110">
        <f>'Detailed Report'!AN980</f>
        <v>0</v>
      </c>
      <c r="R984" s="110">
        <f>'Detailed Report'!AU980/1.14</f>
        <v>32.447368421052637</v>
      </c>
      <c r="S984" s="110">
        <f>'Detailed Report'!AU980-'........... - Otlob'!R984</f>
        <v>4.5426315789473648</v>
      </c>
    </row>
    <row r="985" spans="1:19" x14ac:dyDescent="0.25">
      <c r="A985" s="105">
        <f>+IF(B985="","",SUBTOTAL(3,B$8:B985))</f>
        <v>978</v>
      </c>
      <c r="B985" s="106" t="str">
        <f>'Detailed Report'!O981</f>
        <v>Fuddruckers - Concord Plaza Mall</v>
      </c>
      <c r="C985" s="107">
        <f>TRUNC('Detailed Report'!Q981,0)</f>
        <v>46053</v>
      </c>
      <c r="D985" s="108">
        <f>'Detailed Report'!P981</f>
        <v>3431205055</v>
      </c>
      <c r="E985" s="106" t="str">
        <f>'Detailed Report'!S981</f>
        <v>Successful</v>
      </c>
      <c r="F985" s="109">
        <f>IF(E985=$E$6,('Detailed Report'!Y981),IF(E985=$E$5,(0),0))</f>
        <v>399.98</v>
      </c>
      <c r="G985" s="106">
        <f>IF(E985=$E$6,('Detailed Report'!AQ981),IF(E985=$E$5,('Detailed Report'!AW981),0))</f>
        <v>350.85964999999999</v>
      </c>
      <c r="H985" s="106">
        <f>'Detailed Report'!AS981</f>
        <v>87.714910000000003</v>
      </c>
      <c r="I985" s="106">
        <f>'Detailed Report'!AT981</f>
        <v>12.280087399999999</v>
      </c>
      <c r="J985" s="106">
        <f>'Detailed Report'!AO981</f>
        <v>6.9996499999999999</v>
      </c>
      <c r="K985" s="106">
        <f>'Detailed Report'!AP981</f>
        <v>0.97995100000000002</v>
      </c>
      <c r="L985" s="106">
        <f>'Detailed Report'!AU981/1.14</f>
        <v>29.815789473684216</v>
      </c>
      <c r="M985" s="106">
        <f>'Detailed Report'!AU981-L985</f>
        <v>4.174210526315786</v>
      </c>
      <c r="N985" s="110">
        <f>'Detailed Report'!AW981</f>
        <v>258.01499999999999</v>
      </c>
      <c r="O985" s="111">
        <f t="shared" si="61"/>
        <v>92.844650000000001</v>
      </c>
      <c r="P985" s="110">
        <f>'Detailed Report'!AM981</f>
        <v>0</v>
      </c>
      <c r="Q985" s="110">
        <f>'Detailed Report'!AN981</f>
        <v>0</v>
      </c>
      <c r="R985" s="110">
        <f>'Detailed Report'!AU981/1.14</f>
        <v>29.815789473684216</v>
      </c>
      <c r="S985" s="110">
        <f>'Detailed Report'!AU981-'........... - Otlob'!R985</f>
        <v>4.174210526315786</v>
      </c>
    </row>
    <row r="986" spans="1:19" x14ac:dyDescent="0.25">
      <c r="A986" s="105">
        <f>+IF(B986="","",SUBTOTAL(3,B$8:B986))</f>
        <v>979</v>
      </c>
      <c r="B986" s="106" t="str">
        <f>'Detailed Report'!O982</f>
        <v>Fuddruckers - New Maadi</v>
      </c>
      <c r="C986" s="107">
        <f>TRUNC('Detailed Report'!Q982,0)</f>
        <v>46053</v>
      </c>
      <c r="D986" s="108">
        <f>'Detailed Report'!P982</f>
        <v>3431230533</v>
      </c>
      <c r="E986" s="106" t="str">
        <f>'Detailed Report'!S982</f>
        <v>Successful</v>
      </c>
      <c r="F986" s="109">
        <f>IF(E986=$E$6,('Detailed Report'!Y982),IF(E986=$E$5,(0),0))</f>
        <v>645.98</v>
      </c>
      <c r="G986" s="106">
        <f>IF(E986=$E$6,('Detailed Report'!AQ982),IF(E986=$E$5,('Detailed Report'!AW982),0))</f>
        <v>566.64912000000004</v>
      </c>
      <c r="H986" s="106">
        <f>'Detailed Report'!AS982</f>
        <v>141.66228000000001</v>
      </c>
      <c r="I986" s="106">
        <f>'Detailed Report'!AT982</f>
        <v>19.8327192</v>
      </c>
      <c r="J986" s="106">
        <f>'Detailed Report'!AO982</f>
        <v>0</v>
      </c>
      <c r="K986" s="106">
        <f>'Detailed Report'!AP982</f>
        <v>0</v>
      </c>
      <c r="L986" s="106">
        <f>'Detailed Report'!AU982/1.14</f>
        <v>23.67543859649123</v>
      </c>
      <c r="M986" s="106">
        <f>'Detailed Report'!AU982-L986</f>
        <v>3.3145614035087689</v>
      </c>
      <c r="N986" s="110">
        <f>'Detailed Report'!AW982</f>
        <v>457.495</v>
      </c>
      <c r="O986" s="111">
        <f t="shared" si="61"/>
        <v>109.15412000000003</v>
      </c>
      <c r="P986" s="110">
        <f>'Detailed Report'!AM982</f>
        <v>0</v>
      </c>
      <c r="Q986" s="110">
        <f>'Detailed Report'!AN982</f>
        <v>0</v>
      </c>
      <c r="R986" s="110">
        <f>'Detailed Report'!AU982/1.14</f>
        <v>23.67543859649123</v>
      </c>
      <c r="S986" s="110">
        <f>'Detailed Report'!AU982-'........... - Otlob'!R986</f>
        <v>3.3145614035087689</v>
      </c>
    </row>
    <row r="987" spans="1:19" x14ac:dyDescent="0.25">
      <c r="A987" s="105">
        <f>+IF(B987="","",SUBTOTAL(3,B$8:B987))</f>
        <v>980</v>
      </c>
      <c r="B987" s="106" t="str">
        <f>'Detailed Report'!O983</f>
        <v>Fuddruckers - Concord Plaza Mall</v>
      </c>
      <c r="C987" s="107">
        <f>TRUNC('Detailed Report'!Q983,0)</f>
        <v>46053</v>
      </c>
      <c r="D987" s="108">
        <f>'Detailed Report'!P983</f>
        <v>3431309135</v>
      </c>
      <c r="E987" s="106" t="str">
        <f>'Detailed Report'!S983</f>
        <v>Successful</v>
      </c>
      <c r="F987" s="109">
        <f>IF(E987=$E$6,('Detailed Report'!Y983),IF(E987=$E$5,(0),0))</f>
        <v>807.98</v>
      </c>
      <c r="G987" s="106">
        <f>IF(E987=$E$6,('Detailed Report'!AQ983),IF(E987=$E$5,('Detailed Report'!AW983),0))</f>
        <v>708.75438999999994</v>
      </c>
      <c r="H987" s="106">
        <f>'Detailed Report'!AS983</f>
        <v>177.18860000000001</v>
      </c>
      <c r="I987" s="106">
        <f>'Detailed Report'!AT983</f>
        <v>24.806404000000001</v>
      </c>
      <c r="J987" s="106">
        <f>'Detailed Report'!AO983</f>
        <v>14.13965</v>
      </c>
      <c r="K987" s="106">
        <f>'Detailed Report'!AP983</f>
        <v>1.9795510000000001</v>
      </c>
      <c r="L987" s="106">
        <f>'Detailed Report'!AU983/1.14</f>
        <v>30.692982456140356</v>
      </c>
      <c r="M987" s="106">
        <f>'Detailed Report'!AU983-L987</f>
        <v>4.2970175438596456</v>
      </c>
      <c r="N987" s="110">
        <f>'Detailed Report'!AW983</f>
        <v>554.87599999999998</v>
      </c>
      <c r="O987" s="111">
        <f t="shared" si="61"/>
        <v>153.87838999999997</v>
      </c>
      <c r="P987" s="110">
        <f>'Detailed Report'!AM983</f>
        <v>0</v>
      </c>
      <c r="Q987" s="110">
        <f>'Detailed Report'!AN983</f>
        <v>0</v>
      </c>
      <c r="R987" s="110">
        <f>'Detailed Report'!AU983/1.14</f>
        <v>30.692982456140356</v>
      </c>
      <c r="S987" s="110">
        <f>'Detailed Report'!AU983-'........... - Otlob'!R987</f>
        <v>4.2970175438596456</v>
      </c>
    </row>
    <row r="988" spans="1:19" x14ac:dyDescent="0.25">
      <c r="A988" s="105">
        <f>+IF(B988="","",SUBTOTAL(3,B$8:B988))</f>
        <v>981</v>
      </c>
      <c r="B988" s="106" t="str">
        <f>'Detailed Report'!O984</f>
        <v>Fuddruckers - Concord Plaza Mall</v>
      </c>
      <c r="C988" s="107">
        <f>TRUNC('Detailed Report'!Q984,0)</f>
        <v>46053</v>
      </c>
      <c r="D988" s="108">
        <f>'Detailed Report'!P984</f>
        <v>3431318473</v>
      </c>
      <c r="E988" s="106" t="str">
        <f>'Detailed Report'!S984</f>
        <v>Successful</v>
      </c>
      <c r="F988" s="109">
        <f>IF(E988=$E$6,('Detailed Report'!Y984),IF(E988=$E$5,(0),0))</f>
        <v>447.18</v>
      </c>
      <c r="G988" s="106">
        <f>IF(E988=$E$6,('Detailed Report'!AQ984),IF(E988=$E$5,('Detailed Report'!AW984),0))</f>
        <v>392.26316000000003</v>
      </c>
      <c r="H988" s="106">
        <f>'Detailed Report'!AS984</f>
        <v>98.065790000000007</v>
      </c>
      <c r="I988" s="106">
        <f>'Detailed Report'!AT984</f>
        <v>13.7292106</v>
      </c>
      <c r="J988" s="106">
        <f>'Detailed Report'!AO984</f>
        <v>0</v>
      </c>
      <c r="K988" s="106">
        <f>'Detailed Report'!AP984</f>
        <v>0</v>
      </c>
      <c r="L988" s="106">
        <f>'Detailed Report'!AU984/1.14</f>
        <v>0</v>
      </c>
      <c r="M988" s="106">
        <f>'Detailed Report'!AU984-L988</f>
        <v>0</v>
      </c>
      <c r="N988" s="110">
        <f>'Detailed Report'!AW984</f>
        <v>335.38499999999999</v>
      </c>
      <c r="O988" s="111">
        <f t="shared" si="61"/>
        <v>56.878160000000037</v>
      </c>
      <c r="P988" s="110">
        <f>'Detailed Report'!AM984</f>
        <v>0</v>
      </c>
      <c r="Q988" s="110">
        <f>'Detailed Report'!AN984</f>
        <v>0</v>
      </c>
      <c r="R988" s="110">
        <f>'Detailed Report'!AU984/1.14</f>
        <v>0</v>
      </c>
      <c r="S988" s="110">
        <f>'Detailed Report'!AU984-'........... - Otlob'!R988</f>
        <v>0</v>
      </c>
    </row>
  </sheetData>
  <autoFilter ref="A7:CT988" xr:uid="{E72BA94C-18DB-4CAB-9CD5-CD4F00EEA593}"/>
  <mergeCells count="9">
    <mergeCell ref="AV6:AY6"/>
    <mergeCell ref="AZ6:BB6"/>
    <mergeCell ref="BD6:BH6"/>
    <mergeCell ref="CR6:CT6"/>
    <mergeCell ref="BI6:BJ6"/>
    <mergeCell ref="BZ6:CD6"/>
    <mergeCell ref="CE6:CF6"/>
    <mergeCell ref="CH6:CL6"/>
    <mergeCell ref="CO6:CQ6"/>
  </mergeCells>
  <conditionalFormatting sqref="BB8:BB38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BJ8:BJ3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conditionalFormatting sqref="CF8:CF38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conditionalFormatting sqref="CT8:CT38">
    <cfRule type="cellIs" dxfId="1" priority="5" stopIfTrue="1" operator="greaterThan">
      <formula>0</formula>
    </cfRule>
    <cfRule type="cellIs" dxfId="0" priority="6" stopIfTrue="1" operator="lessThan">
      <formula>0</formula>
    </cfRule>
  </conditionalFormatting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Report</vt:lpstr>
      <vt:lpstr>........... - Otlob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Fayed</dc:creator>
  <cp:lastModifiedBy>Office</cp:lastModifiedBy>
  <cp:lastPrinted>2026-03-04T12:27:26Z</cp:lastPrinted>
  <dcterms:created xsi:type="dcterms:W3CDTF">2015-06-05T18:17:20Z</dcterms:created>
  <dcterms:modified xsi:type="dcterms:W3CDTF">2026-03-22T08:41:44Z</dcterms:modified>
</cp:coreProperties>
</file>